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7\"/>
    </mc:Choice>
  </mc:AlternateContent>
  <bookViews>
    <workbookView xWindow="0" yWindow="0" windowWidth="28800" windowHeight="12330" activeTab="1"/>
  </bookViews>
  <sheets>
    <sheet name="Gestión de Tesorería" sheetId="1" r:id="rId1"/>
    <sheet name="Gestión de ventas" sheetId="2" r:id="rId2"/>
    <sheet name="Gestión de compra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3" l="1"/>
  <c r="AB11" i="3"/>
  <c r="Q11" i="3"/>
  <c r="Q12" i="3" l="1"/>
  <c r="K13" i="3"/>
  <c r="K12" i="3"/>
  <c r="E12" i="3"/>
  <c r="W14" i="3"/>
  <c r="V14" i="3"/>
  <c r="K14" i="3"/>
  <c r="E14" i="3"/>
  <c r="W13" i="3"/>
  <c r="V13" i="3"/>
  <c r="X13" i="3" s="1"/>
  <c r="AA13" i="3" s="1"/>
  <c r="L13" i="3"/>
  <c r="E13" i="3"/>
  <c r="W12" i="3"/>
  <c r="V12" i="3"/>
  <c r="X12" i="3" s="1"/>
  <c r="AA12" i="3" s="1"/>
  <c r="L12" i="3"/>
  <c r="U11" i="3"/>
  <c r="J11" i="3"/>
  <c r="D11" i="3"/>
  <c r="AB13" i="3" l="1"/>
  <c r="Q13" i="3"/>
  <c r="G13" i="3"/>
  <c r="Y13" i="3" s="1"/>
  <c r="V11" i="3"/>
  <c r="T11" i="3" s="1"/>
  <c r="K11" i="3"/>
  <c r="I11" i="3" s="1"/>
  <c r="M12" i="3"/>
  <c r="P12" i="3" s="1"/>
  <c r="G14" i="3"/>
  <c r="E11" i="3"/>
  <c r="C11" i="3" s="1"/>
  <c r="G12" i="3"/>
  <c r="Y12" i="3" s="1"/>
  <c r="AC12" i="3" s="1"/>
  <c r="Z12" i="3"/>
  <c r="M13" i="3"/>
  <c r="L14" i="3"/>
  <c r="X14" i="3"/>
  <c r="X11" i="3" s="1"/>
  <c r="O12" i="3"/>
  <c r="Z13" i="3"/>
  <c r="V12" i="2"/>
  <c r="X12" i="2" s="1"/>
  <c r="AB12" i="2" s="1"/>
  <c r="V13" i="2"/>
  <c r="K14" i="2"/>
  <c r="K13" i="2"/>
  <c r="K12" i="2"/>
  <c r="E14" i="2"/>
  <c r="E13" i="2"/>
  <c r="E12" i="2"/>
  <c r="G12" i="2" s="1"/>
  <c r="D11" i="2"/>
  <c r="W12" i="2"/>
  <c r="L12" i="2"/>
  <c r="P48" i="1"/>
  <c r="P47" i="1"/>
  <c r="P46" i="1"/>
  <c r="P45" i="1"/>
  <c r="P44" i="1"/>
  <c r="P43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42" i="1"/>
  <c r="L48" i="1"/>
  <c r="L47" i="1"/>
  <c r="L46" i="1"/>
  <c r="L45" i="1"/>
  <c r="L44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42" i="1"/>
  <c r="N48" i="1"/>
  <c r="N47" i="1"/>
  <c r="N46" i="1"/>
  <c r="N45" i="1"/>
  <c r="N44" i="1"/>
  <c r="N43" i="1"/>
  <c r="J48" i="1"/>
  <c r="J47" i="1"/>
  <c r="J46" i="1"/>
  <c r="J45" i="1"/>
  <c r="J44" i="1"/>
  <c r="J43" i="1"/>
  <c r="H43" i="1"/>
  <c r="H48" i="1"/>
  <c r="H47" i="1"/>
  <c r="O47" i="1"/>
  <c r="O48" i="1"/>
  <c r="K40" i="1"/>
  <c r="O40" i="1"/>
  <c r="K36" i="1"/>
  <c r="O36" i="1"/>
  <c r="N18" i="1"/>
  <c r="J18" i="1"/>
  <c r="N31" i="1"/>
  <c r="J31" i="1"/>
  <c r="H31" i="1"/>
  <c r="O38" i="1"/>
  <c r="K38" i="1"/>
  <c r="O35" i="1"/>
  <c r="K35" i="1"/>
  <c r="O33" i="1"/>
  <c r="K33" i="1"/>
  <c r="H46" i="1"/>
  <c r="H45" i="1"/>
  <c r="K37" i="1"/>
  <c r="O24" i="1"/>
  <c r="O25" i="1"/>
  <c r="O27" i="1"/>
  <c r="O28" i="1"/>
  <c r="O30" i="1"/>
  <c r="O34" i="1"/>
  <c r="O37" i="1"/>
  <c r="O39" i="1"/>
  <c r="H18" i="1"/>
  <c r="K30" i="1"/>
  <c r="O29" i="1"/>
  <c r="K29" i="1"/>
  <c r="K28" i="1"/>
  <c r="K27" i="1"/>
  <c r="K39" i="1"/>
  <c r="K34" i="1"/>
  <c r="O32" i="1"/>
  <c r="K32" i="1"/>
  <c r="O26" i="1"/>
  <c r="K26" i="1"/>
  <c r="K25" i="1"/>
  <c r="K24" i="1"/>
  <c r="O22" i="1"/>
  <c r="K22" i="1"/>
  <c r="O23" i="1"/>
  <c r="K23" i="1"/>
  <c r="O21" i="1"/>
  <c r="K21" i="1"/>
  <c r="O20" i="1"/>
  <c r="K20" i="1"/>
  <c r="O13" i="1"/>
  <c r="K13" i="1"/>
  <c r="O10" i="1"/>
  <c r="K10" i="1"/>
  <c r="O16" i="1"/>
  <c r="K16" i="1"/>
  <c r="O12" i="1"/>
  <c r="K12" i="1"/>
  <c r="O11" i="1"/>
  <c r="K11" i="1"/>
  <c r="N7" i="1"/>
  <c r="J7" i="1"/>
  <c r="H7" i="1"/>
  <c r="H44" i="1" s="1"/>
  <c r="O19" i="1"/>
  <c r="K19" i="1"/>
  <c r="O8" i="1"/>
  <c r="K8" i="1"/>
  <c r="M12" i="2" l="1"/>
  <c r="Q12" i="2" s="1"/>
  <c r="Y12" i="2"/>
  <c r="AB14" i="3"/>
  <c r="Q14" i="3"/>
  <c r="AC13" i="3"/>
  <c r="N12" i="2"/>
  <c r="G14" i="2"/>
  <c r="L13" i="2"/>
  <c r="L14" i="2" s="1"/>
  <c r="P12" i="2"/>
  <c r="G13" i="2"/>
  <c r="W13" i="2"/>
  <c r="W14" i="2" s="1"/>
  <c r="AA12" i="2"/>
  <c r="Z12" i="2"/>
  <c r="X13" i="2"/>
  <c r="AB13" i="2" s="1"/>
  <c r="Z14" i="3"/>
  <c r="N12" i="3"/>
  <c r="R12" i="3" s="1"/>
  <c r="G11" i="3"/>
  <c r="Y11" i="3" s="1"/>
  <c r="AC11" i="3" s="1"/>
  <c r="AA11" i="3"/>
  <c r="Z11" i="3"/>
  <c r="O13" i="3"/>
  <c r="AA14" i="3"/>
  <c r="P13" i="3"/>
  <c r="N13" i="3"/>
  <c r="R13" i="3" s="1"/>
  <c r="Y14" i="3"/>
  <c r="M14" i="3"/>
  <c r="N14" i="3" s="1"/>
  <c r="U11" i="2"/>
  <c r="J11" i="2"/>
  <c r="K11" i="2"/>
  <c r="E11" i="2"/>
  <c r="C11" i="2" s="1"/>
  <c r="K47" i="1"/>
  <c r="K48" i="1"/>
  <c r="H41" i="1"/>
  <c r="O45" i="1"/>
  <c r="O46" i="1"/>
  <c r="O31" i="1"/>
  <c r="J41" i="1"/>
  <c r="K46" i="1"/>
  <c r="K45" i="1"/>
  <c r="K31" i="1"/>
  <c r="K18" i="1"/>
  <c r="K7" i="1"/>
  <c r="O7" i="1"/>
  <c r="O12" i="2" l="1"/>
  <c r="R12" i="2" s="1"/>
  <c r="AC12" i="2"/>
  <c r="G11" i="2"/>
  <c r="AC14" i="3"/>
  <c r="R14" i="3"/>
  <c r="Y13" i="2"/>
  <c r="Z13" i="2"/>
  <c r="AA13" i="2"/>
  <c r="M13" i="2"/>
  <c r="Q13" i="2" s="1"/>
  <c r="M14" i="2"/>
  <c r="P14" i="2" s="1"/>
  <c r="I11" i="2"/>
  <c r="O14" i="3"/>
  <c r="P14" i="3"/>
  <c r="M11" i="3"/>
  <c r="K41" i="1"/>
  <c r="H9" i="1"/>
  <c r="O18" i="1"/>
  <c r="N41" i="1"/>
  <c r="O41" i="1" s="1"/>
  <c r="AC13" i="2" l="1"/>
  <c r="Q14" i="2"/>
  <c r="N14" i="2"/>
  <c r="O14" i="2"/>
  <c r="R14" i="2" s="1"/>
  <c r="N13" i="2"/>
  <c r="M11" i="2"/>
  <c r="O11" i="2" s="1"/>
  <c r="P13" i="2"/>
  <c r="O13" i="2"/>
  <c r="P11" i="3"/>
  <c r="O11" i="3"/>
  <c r="N11" i="3"/>
  <c r="R11" i="3" s="1"/>
  <c r="K14" i="1"/>
  <c r="O14" i="1"/>
  <c r="H17" i="1"/>
  <c r="R13" i="2" l="1"/>
  <c r="N11" i="2"/>
  <c r="Q11" i="2"/>
  <c r="P11" i="2"/>
  <c r="K44" i="1"/>
  <c r="K43" i="1"/>
  <c r="N9" i="1"/>
  <c r="O15" i="1"/>
  <c r="H42" i="1"/>
  <c r="O43" i="1"/>
  <c r="O44" i="1"/>
  <c r="R11" i="2" l="1"/>
  <c r="J9" i="1"/>
  <c r="K15" i="1"/>
  <c r="N17" i="1"/>
  <c r="O9" i="1"/>
  <c r="J17" i="1" l="1"/>
  <c r="K9" i="1"/>
  <c r="N42" i="1"/>
  <c r="O17" i="1"/>
  <c r="J42" i="1" l="1"/>
  <c r="K17" i="1"/>
  <c r="O42" i="1"/>
  <c r="K42" i="1" l="1"/>
  <c r="V14" i="2" l="1"/>
  <c r="X14" i="2" s="1"/>
  <c r="AB14" i="2" s="1"/>
  <c r="Z14" i="2" l="1"/>
  <c r="AA14" i="2"/>
  <c r="V11" i="2"/>
  <c r="T11" i="2" s="1"/>
  <c r="Y14" i="2"/>
  <c r="X11" i="2"/>
  <c r="AC14" i="2" l="1"/>
  <c r="Y11" i="2"/>
  <c r="AB11" i="2"/>
  <c r="AA11" i="2"/>
  <c r="Z11" i="2"/>
  <c r="AC11" i="2" l="1"/>
</calcChain>
</file>

<file path=xl/sharedStrings.xml><?xml version="1.0" encoding="utf-8"?>
<sst xmlns="http://schemas.openxmlformats.org/spreadsheetml/2006/main" count="334" uniqueCount="89">
  <si>
    <t>Concepto</t>
  </si>
  <si>
    <t>Variación</t>
  </si>
  <si>
    <t>Período actual (semana, mes, trimestre o año)</t>
  </si>
  <si>
    <t>Mismo período rezagado (semana, mes, trimestre o año)</t>
  </si>
  <si>
    <t>Mismo período en el plan (semana, mes, trimestre o año)</t>
  </si>
  <si>
    <t>Efecto sobre la caja versus el plan</t>
  </si>
  <si>
    <t>Efecto sobre la caja versus el mismo período rezagado</t>
  </si>
  <si>
    <t>Ingreso total (entradas de dinero)</t>
  </si>
  <si>
    <t>Ingreso corriente</t>
  </si>
  <si>
    <t>Ingreso de capital</t>
  </si>
  <si>
    <t>Gasto corriente</t>
  </si>
  <si>
    <t>Venta de bienes y servicios</t>
  </si>
  <si>
    <t>Venta de activos a terceros (oficina, equipos, máquinas,...)</t>
  </si>
  <si>
    <t>Emisión de deuda (préstamos, papeles comerciales, ...)</t>
  </si>
  <si>
    <t xml:space="preserve">Emisión de acciones </t>
  </si>
  <si>
    <t>Compras de bienes y servicios (costo variable)</t>
  </si>
  <si>
    <t>Nómina de obreros (costo variable)</t>
  </si>
  <si>
    <t>Transporte y distribución (costo variable)</t>
  </si>
  <si>
    <t>Gastos de administración (costo fijo - incluida la nómina de administración)</t>
  </si>
  <si>
    <t>Comisiones de venta (costo variable)</t>
  </si>
  <si>
    <t>Gastos de ventas (costo fijo - incluida la nómina de ventas y excluidas las comisiones de venta arriba consideradas)</t>
  </si>
  <si>
    <t>Gastos de Mercadeo, Publicidad y Promoción de productos (costo fijo - incluida la nómina si aplica)</t>
  </si>
  <si>
    <t>Gastos de Asuntos Legales</t>
  </si>
  <si>
    <t>Otro gasto corriente</t>
  </si>
  <si>
    <t>Compra de activo fijo (oficina, equipos, máquinas,...)</t>
  </si>
  <si>
    <t>Acumulación neta de inventario  (entrada menos salida de inventario)</t>
  </si>
  <si>
    <t>Repago de deuda (préstamos, papeles comerciales, ...)</t>
  </si>
  <si>
    <t>Recompra de acciones por parte de la tesorería</t>
  </si>
  <si>
    <t>Gasto de capital</t>
  </si>
  <si>
    <t>Intereses</t>
  </si>
  <si>
    <t>Depreciación</t>
  </si>
  <si>
    <t>Amortización</t>
  </si>
  <si>
    <t>Utilidad bruta</t>
  </si>
  <si>
    <t>Flujo de caja</t>
  </si>
  <si>
    <t>Variación de saldo en bancos</t>
  </si>
  <si>
    <t>Reducción de Cuentas por Pagar (pagos realizados)</t>
  </si>
  <si>
    <t>Reducción de pasivos laborales (reducción de deudas con empleados y obreros)</t>
  </si>
  <si>
    <t>Incremento de pasivos laborales (pasivos laborales causados)</t>
  </si>
  <si>
    <t>Incremento de dividendos por pagar (dividendos causados)</t>
  </si>
  <si>
    <t>Incremento de pasivos tributarios (impuestos directos e indirectos causados - i.e. IVA + IS o ISLR)</t>
  </si>
  <si>
    <t>Reducción de pasivos tributarios (pagos de impuestos - i.e. IVA e IS o ISLR)</t>
  </si>
  <si>
    <t>Aumenta</t>
  </si>
  <si>
    <t>¿Qué ocurre?</t>
  </si>
  <si>
    <t>Ingreso neto</t>
  </si>
  <si>
    <t>Pasivo</t>
  </si>
  <si>
    <t>Patrimonio</t>
  </si>
  <si>
    <t>Reduce</t>
  </si>
  <si>
    <t>Activo</t>
  </si>
  <si>
    <t>n.a.</t>
  </si>
  <si>
    <t>¿A qué afecta?</t>
  </si>
  <si>
    <t>¿En qué plazo?</t>
  </si>
  <si>
    <t>LP</t>
  </si>
  <si>
    <t>CP</t>
  </si>
  <si>
    <t>CP, MP, LP</t>
  </si>
  <si>
    <t>MP</t>
  </si>
  <si>
    <t>Patrimimio</t>
  </si>
  <si>
    <t>El riesgo y el rendimiento</t>
  </si>
  <si>
    <t>Disminuye</t>
  </si>
  <si>
    <t>Reducción de dividendos por pagar (dividendos pagados)</t>
  </si>
  <si>
    <t>CP, MP, o  LP</t>
  </si>
  <si>
    <t>Signo</t>
  </si>
  <si>
    <t>+</t>
  </si>
  <si>
    <t>-</t>
  </si>
  <si>
    <t xml:space="preserve"> +/(-)</t>
  </si>
  <si>
    <t>(-)/+</t>
  </si>
  <si>
    <t>Variación de Cuentas por Pagar (facturas de proveedores recibidas menos pagos realizados)</t>
  </si>
  <si>
    <t>Variación de Cuentas por cobrar (facturas emitidas menos cobros recibidos)</t>
  </si>
  <si>
    <t>Egreso de capital</t>
  </si>
  <si>
    <t>Gestión de tesorería, dispersiones y presupuesto</t>
  </si>
  <si>
    <t>Gestión de ventas</t>
  </si>
  <si>
    <t>Ventas</t>
  </si>
  <si>
    <t>Precio</t>
  </si>
  <si>
    <t>Volumen</t>
  </si>
  <si>
    <t>Tipo de cambio</t>
  </si>
  <si>
    <t>Efecto precio versus el plan</t>
  </si>
  <si>
    <t>Efecto volumen versus el plan</t>
  </si>
  <si>
    <t>Efecto tipo de cambio versus el plan</t>
  </si>
  <si>
    <t>Valor en moneda local</t>
  </si>
  <si>
    <t>Efecto precio versus el mismo período rezagado</t>
  </si>
  <si>
    <t>Efecto volumen versus mismo período rezagado</t>
  </si>
  <si>
    <t>Efecto tipo de cambio versus el mismo período rezagado</t>
  </si>
  <si>
    <t>Valor en moneda dura ($ o €)</t>
  </si>
  <si>
    <t>Artículo 1</t>
  </si>
  <si>
    <t>Artículo 2</t>
  </si>
  <si>
    <t>Artículo "N"</t>
  </si>
  <si>
    <t>Gestión de compras</t>
  </si>
  <si>
    <t>Egreso total (salidas de dinero - acá no se incluye la Depreciación y Amortización, al no ser erogaciones)</t>
  </si>
  <si>
    <t>Compras</t>
  </si>
  <si>
    <t>Efecto mixto o residual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</si>
</sst>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540A]#,##0"/>
    <numFmt numFmtId="167" formatCode="[$$-540A]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68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vertical="center" wrapText="1"/>
    </xf>
    <xf numFmtId="0" fontId="2" fillId="2" borderId="1" xfId="2" applyBorder="1" applyAlignment="1">
      <alignment vertical="center" wrapText="1"/>
    </xf>
    <xf numFmtId="164" fontId="2" fillId="2" borderId="1" xfId="2" applyNumberFormat="1" applyBorder="1" applyAlignment="1">
      <alignment horizontal="center" vertical="center" wrapText="1"/>
    </xf>
    <xf numFmtId="0" fontId="6" fillId="4" borderId="1" xfId="4" applyFont="1" applyBorder="1" applyAlignment="1">
      <alignment vertical="center" wrapText="1"/>
    </xf>
    <xf numFmtId="164" fontId="6" fillId="4" borderId="1" xfId="4" applyNumberFormat="1" applyFont="1" applyBorder="1" applyAlignment="1">
      <alignment horizontal="center" vertical="center" wrapText="1"/>
    </xf>
    <xf numFmtId="0" fontId="3" fillId="3" borderId="1" xfId="3" applyBorder="1" applyAlignment="1">
      <alignment vertical="center" wrapText="1"/>
    </xf>
    <xf numFmtId="164" fontId="3" fillId="3" borderId="1" xfId="3" applyNumberFormat="1" applyBorder="1" applyAlignment="1">
      <alignment horizontal="center" vertical="center" wrapText="1"/>
    </xf>
    <xf numFmtId="0" fontId="2" fillId="6" borderId="1" xfId="2" applyFill="1" applyBorder="1" applyAlignment="1">
      <alignment vertical="center" wrapText="1"/>
    </xf>
    <xf numFmtId="164" fontId="2" fillId="6" borderId="1" xfId="2" applyNumberFormat="1" applyFill="1" applyBorder="1" applyAlignment="1">
      <alignment horizontal="center" vertical="center" wrapText="1"/>
    </xf>
    <xf numFmtId="0" fontId="3" fillId="6" borderId="1" xfId="3" applyFill="1" applyBorder="1" applyAlignment="1">
      <alignment vertical="center" wrapText="1"/>
    </xf>
    <xf numFmtId="164" fontId="3" fillId="6" borderId="1" xfId="3" applyNumberForma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vertical="center" wrapText="1"/>
    </xf>
    <xf numFmtId="164" fontId="6" fillId="6" borderId="1" xfId="4" applyNumberFormat="1" applyFont="1" applyFill="1" applyBorder="1" applyAlignment="1">
      <alignment horizontal="center" vertical="center" wrapText="1"/>
    </xf>
    <xf numFmtId="164" fontId="0" fillId="5" borderId="0" xfId="0" applyNumberFormat="1" applyFill="1" applyAlignment="1">
      <alignment horizontal="center"/>
    </xf>
    <xf numFmtId="0" fontId="8" fillId="6" borderId="1" xfId="2" applyFont="1" applyFill="1" applyBorder="1" applyAlignment="1">
      <alignment horizontal="center" vertical="center" wrapText="1"/>
    </xf>
    <xf numFmtId="0" fontId="8" fillId="2" borderId="1" xfId="2" applyFont="1" applyBorder="1" applyAlignment="1">
      <alignment horizontal="center" vertical="center" wrapText="1"/>
    </xf>
    <xf numFmtId="0" fontId="8" fillId="3" borderId="1" xfId="3" applyFont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4" borderId="1" xfId="4" applyFont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10" fillId="6" borderId="1" xfId="3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3" fillId="6" borderId="1" xfId="1" applyFont="1" applyFill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9" fontId="6" fillId="6" borderId="1" xfId="1" applyFont="1" applyFill="1" applyBorder="1" applyAlignment="1">
      <alignment horizontal="center" vertical="center" wrapText="1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2" fillId="2" borderId="1" xfId="2" applyBorder="1" applyAlignment="1">
      <alignment horizontal="left" vertical="center" wrapText="1"/>
    </xf>
    <xf numFmtId="0" fontId="2" fillId="6" borderId="1" xfId="2" applyFill="1" applyBorder="1" applyAlignment="1">
      <alignment horizontal="left" vertical="center" wrapText="1"/>
    </xf>
    <xf numFmtId="3" fontId="2" fillId="2" borderId="1" xfId="2" applyNumberFormat="1" applyBorder="1" applyAlignment="1">
      <alignment horizontal="center" vertical="center" wrapText="1"/>
    </xf>
    <xf numFmtId="3" fontId="2" fillId="6" borderId="1" xfId="2" applyNumberFormat="1" applyFill="1" applyBorder="1" applyAlignment="1">
      <alignment horizontal="center" vertical="center" wrapText="1"/>
    </xf>
    <xf numFmtId="4" fontId="2" fillId="2" borderId="1" xfId="2" applyNumberFormat="1" applyBorder="1" applyAlignment="1">
      <alignment horizontal="center" vertical="center" wrapText="1"/>
    </xf>
    <xf numFmtId="4" fontId="2" fillId="6" borderId="1" xfId="2" applyNumberForma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10" fontId="2" fillId="6" borderId="1" xfId="1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7" fillId="4" borderId="2" xfId="4" applyFont="1" applyBorder="1" applyAlignment="1">
      <alignment horizontal="center" vertical="center" wrapText="1"/>
    </xf>
    <xf numFmtId="0" fontId="7" fillId="4" borderId="3" xfId="4" applyFont="1" applyBorder="1" applyAlignment="1">
      <alignment horizontal="center" vertical="center" wrapText="1"/>
    </xf>
    <xf numFmtId="0" fontId="7" fillId="4" borderId="4" xfId="4" applyFont="1" applyBorder="1" applyAlignment="1">
      <alignment horizontal="center" vertical="center" wrapText="1"/>
    </xf>
    <xf numFmtId="0" fontId="6" fillId="4" borderId="2" xfId="4" applyFont="1" applyBorder="1" applyAlignment="1">
      <alignment horizontal="center" vertical="center" wrapText="1"/>
    </xf>
    <xf numFmtId="0" fontId="6" fillId="4" borderId="3" xfId="4" applyFont="1" applyBorder="1" applyAlignment="1">
      <alignment horizontal="center" vertical="center" wrapText="1"/>
    </xf>
    <xf numFmtId="0" fontId="6" fillId="4" borderId="4" xfId="4" applyFont="1" applyBorder="1" applyAlignment="1">
      <alignment horizontal="center" vertical="center" wrapText="1"/>
    </xf>
    <xf numFmtId="0" fontId="6" fillId="4" borderId="2" xfId="4" applyFont="1" applyBorder="1" applyAlignment="1">
      <alignment vertical="center" wrapText="1"/>
    </xf>
    <xf numFmtId="0" fontId="6" fillId="4" borderId="3" xfId="4" applyFont="1" applyBorder="1" applyAlignment="1">
      <alignment vertical="center" wrapText="1"/>
    </xf>
    <xf numFmtId="0" fontId="6" fillId="4" borderId="4" xfId="4" applyFont="1" applyBorder="1" applyAlignment="1">
      <alignment vertical="center" wrapText="1"/>
    </xf>
    <xf numFmtId="0" fontId="4" fillId="4" borderId="5" xfId="4" applyFont="1" applyBorder="1" applyAlignment="1">
      <alignment horizontal="center"/>
    </xf>
    <xf numFmtId="0" fontId="4" fillId="4" borderId="6" xfId="4" applyFont="1" applyBorder="1" applyAlignment="1">
      <alignment horizontal="center"/>
    </xf>
    <xf numFmtId="0" fontId="4" fillId="4" borderId="7" xfId="4" applyFont="1" applyBorder="1" applyAlignment="1">
      <alignment horizontal="center"/>
    </xf>
    <xf numFmtId="0" fontId="4" fillId="4" borderId="2" xfId="4" applyFont="1" applyBorder="1" applyAlignment="1">
      <alignment horizontal="center" vertical="center" wrapText="1"/>
    </xf>
    <xf numFmtId="0" fontId="4" fillId="4" borderId="3" xfId="4" applyFont="1" applyBorder="1" applyAlignment="1">
      <alignment horizontal="center" vertical="center" wrapText="1"/>
    </xf>
    <xf numFmtId="0" fontId="4" fillId="4" borderId="4" xfId="4" applyFont="1" applyBorder="1" applyAlignment="1">
      <alignment horizontal="center" vertical="center" wrapText="1"/>
    </xf>
    <xf numFmtId="0" fontId="4" fillId="4" borderId="2" xfId="4" applyFont="1" applyBorder="1" applyAlignment="1">
      <alignment horizontal="left" vertical="center" wrapText="1"/>
    </xf>
    <xf numFmtId="0" fontId="4" fillId="4" borderId="3" xfId="4" applyFont="1" applyBorder="1" applyAlignment="1">
      <alignment horizontal="left" vertical="center" wrapText="1"/>
    </xf>
    <xf numFmtId="0" fontId="4" fillId="4" borderId="4" xfId="4" applyFont="1" applyBorder="1" applyAlignment="1">
      <alignment horizontal="left" vertical="center" wrapText="1"/>
    </xf>
    <xf numFmtId="167" fontId="0" fillId="5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0" fontId="3" fillId="3" borderId="1" xfId="3" applyBorder="1" applyAlignment="1">
      <alignment horizontal="left" vertical="center" wrapText="1"/>
    </xf>
    <xf numFmtId="4" fontId="3" fillId="3" borderId="1" xfId="3" applyNumberFormat="1" applyBorder="1" applyAlignment="1">
      <alignment horizontal="center" vertical="center" wrapText="1"/>
    </xf>
    <xf numFmtId="3" fontId="3" fillId="3" borderId="1" xfId="3" applyNumberFormat="1" applyBorder="1" applyAlignment="1">
      <alignment horizontal="center" vertical="center" wrapText="1"/>
    </xf>
    <xf numFmtId="10" fontId="3" fillId="3" borderId="1" xfId="3" applyNumberFormat="1" applyBorder="1" applyAlignment="1">
      <alignment horizontal="center" vertical="center" wrapText="1"/>
    </xf>
  </cellXfs>
  <cellStyles count="5">
    <cellStyle name="Bueno" xfId="2" builtinId="26"/>
    <cellStyle name="Incorrecto" xfId="3" builtinId="27"/>
    <cellStyle name="Neutral" xfId="4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1"/>
  <sheetViews>
    <sheetView zoomScaleNormal="100" workbookViewId="0">
      <pane ySplit="6" topLeftCell="A34" activePane="bottomLeft" state="frozen"/>
      <selection pane="bottomLeft" activeCell="B2" sqref="B2:P2"/>
    </sheetView>
  </sheetViews>
  <sheetFormatPr baseColWidth="10" defaultRowHeight="15" x14ac:dyDescent="0.25"/>
  <cols>
    <col min="1" max="1" width="5.7109375" style="1" customWidth="1"/>
    <col min="2" max="2" width="54.140625" style="1" bestFit="1" customWidth="1"/>
    <col min="3" max="6" width="15.140625" style="23" customWidth="1"/>
    <col min="7" max="7" width="5.85546875" style="23" bestFit="1" customWidth="1"/>
    <col min="8" max="8" width="25.7109375" style="2" customWidth="1"/>
    <col min="9" max="9" width="1.7109375" style="1" customWidth="1"/>
    <col min="10" max="10" width="25.7109375" style="2" customWidth="1"/>
    <col min="11" max="11" width="9.28515625" style="2" bestFit="1" customWidth="1"/>
    <col min="12" max="12" width="18" style="2" bestFit="1" customWidth="1"/>
    <col min="13" max="13" width="1.7109375" style="1" customWidth="1"/>
    <col min="14" max="14" width="25.7109375" style="2" customWidth="1"/>
    <col min="15" max="15" width="9.28515625" style="2" bestFit="1" customWidth="1"/>
    <col min="16" max="16" width="18" style="2" bestFit="1" customWidth="1"/>
    <col min="17" max="16384" width="11.42578125" style="1"/>
  </cols>
  <sheetData>
    <row r="2" spans="2:16" ht="32.25" x14ac:dyDescent="0.5">
      <c r="B2" s="43" t="s">
        <v>68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4" spans="2:16" ht="15" customHeight="1" x14ac:dyDescent="0.25">
      <c r="B4" s="50" t="s">
        <v>0</v>
      </c>
      <c r="C4" s="44" t="s">
        <v>42</v>
      </c>
      <c r="D4" s="44" t="s">
        <v>49</v>
      </c>
      <c r="E4" s="44" t="s">
        <v>50</v>
      </c>
      <c r="F4" s="44" t="s">
        <v>56</v>
      </c>
      <c r="G4" s="44" t="s">
        <v>60</v>
      </c>
      <c r="H4" s="47" t="s">
        <v>2</v>
      </c>
      <c r="J4" s="47" t="s">
        <v>4</v>
      </c>
      <c r="K4" s="47" t="s">
        <v>1</v>
      </c>
      <c r="L4" s="47" t="s">
        <v>5</v>
      </c>
      <c r="N4" s="47" t="s">
        <v>3</v>
      </c>
      <c r="O4" s="47" t="s">
        <v>1</v>
      </c>
      <c r="P4" s="47" t="s">
        <v>6</v>
      </c>
    </row>
    <row r="5" spans="2:16" ht="15" customHeight="1" x14ac:dyDescent="0.25">
      <c r="B5" s="51"/>
      <c r="C5" s="45"/>
      <c r="D5" s="45"/>
      <c r="E5" s="45"/>
      <c r="F5" s="45"/>
      <c r="G5" s="45"/>
      <c r="H5" s="48"/>
      <c r="J5" s="48"/>
      <c r="K5" s="48"/>
      <c r="L5" s="48"/>
      <c r="N5" s="48"/>
      <c r="O5" s="48"/>
      <c r="P5" s="48"/>
    </row>
    <row r="6" spans="2:16" x14ac:dyDescent="0.25">
      <c r="B6" s="52"/>
      <c r="C6" s="46"/>
      <c r="D6" s="46"/>
      <c r="E6" s="46"/>
      <c r="F6" s="46"/>
      <c r="G6" s="46"/>
      <c r="H6" s="49"/>
      <c r="J6" s="49"/>
      <c r="K6" s="49"/>
      <c r="L6" s="49"/>
      <c r="N6" s="49"/>
      <c r="O6" s="49"/>
      <c r="P6" s="49"/>
    </row>
    <row r="7" spans="2:16" s="5" customFormat="1" ht="30" customHeight="1" x14ac:dyDescent="0.25">
      <c r="B7" s="6" t="s">
        <v>8</v>
      </c>
      <c r="C7" s="20" t="s">
        <v>41</v>
      </c>
      <c r="D7" s="20" t="s">
        <v>43</v>
      </c>
      <c r="E7" s="20" t="s">
        <v>52</v>
      </c>
      <c r="F7" s="20" t="s">
        <v>57</v>
      </c>
      <c r="G7" s="20" t="s">
        <v>61</v>
      </c>
      <c r="H7" s="7">
        <f>+H8</f>
        <v>100000</v>
      </c>
      <c r="J7" s="7">
        <f>+J8</f>
        <v>97500</v>
      </c>
      <c r="K7" s="7">
        <f t="shared" ref="K7:K48" si="0">+H7-J7</f>
        <v>2500</v>
      </c>
      <c r="L7" s="27">
        <f t="shared" ref="L7:L41" si="1">+K7/$J$42</f>
        <v>0.2198768689533861</v>
      </c>
      <c r="N7" s="7">
        <f>+N8</f>
        <v>95000</v>
      </c>
      <c r="O7" s="7">
        <f t="shared" ref="O7:O48" si="2">+H7-N7</f>
        <v>5000</v>
      </c>
      <c r="P7" s="27">
        <f t="shared" ref="P7:P41" si="3">+O7/$N$42</f>
        <v>0.57077625570776258</v>
      </c>
    </row>
    <row r="8" spans="2:16" s="5" customFormat="1" ht="30" customHeight="1" x14ac:dyDescent="0.25">
      <c r="B8" s="12" t="s">
        <v>11</v>
      </c>
      <c r="C8" s="19" t="s">
        <v>41</v>
      </c>
      <c r="D8" s="19" t="s">
        <v>43</v>
      </c>
      <c r="E8" s="19" t="s">
        <v>52</v>
      </c>
      <c r="F8" s="19" t="s">
        <v>57</v>
      </c>
      <c r="G8" s="19" t="s">
        <v>61</v>
      </c>
      <c r="H8" s="13">
        <v>100000</v>
      </c>
      <c r="J8" s="13">
        <v>97500</v>
      </c>
      <c r="K8" s="13">
        <f t="shared" si="0"/>
        <v>2500</v>
      </c>
      <c r="L8" s="28">
        <f t="shared" si="1"/>
        <v>0.2198768689533861</v>
      </c>
      <c r="N8" s="13">
        <v>95000</v>
      </c>
      <c r="O8" s="13">
        <f t="shared" si="2"/>
        <v>5000</v>
      </c>
      <c r="P8" s="28">
        <f t="shared" si="3"/>
        <v>0.57077625570776258</v>
      </c>
    </row>
    <row r="9" spans="2:16" s="5" customFormat="1" ht="30" customHeight="1" x14ac:dyDescent="0.25">
      <c r="B9" s="6" t="s">
        <v>9</v>
      </c>
      <c r="C9" s="20" t="s">
        <v>48</v>
      </c>
      <c r="D9" s="20" t="s">
        <v>48</v>
      </c>
      <c r="E9" s="20" t="s">
        <v>48</v>
      </c>
      <c r="F9" s="20" t="s">
        <v>48</v>
      </c>
      <c r="G9" s="20" t="s">
        <v>61</v>
      </c>
      <c r="H9" s="7">
        <f>+H11+H12+H16+H10+H13+H14+H15</f>
        <v>60830</v>
      </c>
      <c r="J9" s="7">
        <f>+J11+J12+J16+J10+J13+J14+J15</f>
        <v>59090</v>
      </c>
      <c r="K9" s="7">
        <f t="shared" si="0"/>
        <v>1740</v>
      </c>
      <c r="L9" s="27">
        <f t="shared" si="1"/>
        <v>0.15303430079155672</v>
      </c>
      <c r="N9" s="7">
        <f>+N11+N12+N16+N10+N13+N14+N15</f>
        <v>56660</v>
      </c>
      <c r="O9" s="7">
        <f t="shared" si="2"/>
        <v>4170</v>
      </c>
      <c r="P9" s="27">
        <f t="shared" si="3"/>
        <v>0.47602739726027399</v>
      </c>
    </row>
    <row r="10" spans="2:16" s="5" customFormat="1" ht="30" customHeight="1" x14ac:dyDescent="0.25">
      <c r="B10" s="12" t="s">
        <v>12</v>
      </c>
      <c r="C10" s="19" t="s">
        <v>46</v>
      </c>
      <c r="D10" s="19" t="s">
        <v>47</v>
      </c>
      <c r="E10" s="19" t="s">
        <v>51</v>
      </c>
      <c r="F10" s="19" t="s">
        <v>57</v>
      </c>
      <c r="G10" s="19" t="s">
        <v>61</v>
      </c>
      <c r="H10" s="13">
        <v>0</v>
      </c>
      <c r="J10" s="13">
        <v>0</v>
      </c>
      <c r="K10" s="13">
        <f t="shared" si="0"/>
        <v>0</v>
      </c>
      <c r="L10" s="28">
        <f t="shared" si="1"/>
        <v>0</v>
      </c>
      <c r="N10" s="13">
        <v>0</v>
      </c>
      <c r="O10" s="13">
        <f t="shared" si="2"/>
        <v>0</v>
      </c>
      <c r="P10" s="28">
        <f t="shared" si="3"/>
        <v>0</v>
      </c>
    </row>
    <row r="11" spans="2:16" s="5" customFormat="1" ht="30" customHeight="1" x14ac:dyDescent="0.25">
      <c r="B11" s="12" t="s">
        <v>65</v>
      </c>
      <c r="C11" s="19" t="s">
        <v>41</v>
      </c>
      <c r="D11" s="19" t="s">
        <v>44</v>
      </c>
      <c r="E11" s="19" t="s">
        <v>52</v>
      </c>
      <c r="F11" s="19" t="s">
        <v>41</v>
      </c>
      <c r="G11" s="25" t="s">
        <v>63</v>
      </c>
      <c r="H11" s="13">
        <v>10000</v>
      </c>
      <c r="J11" s="13">
        <v>9750</v>
      </c>
      <c r="K11" s="13">
        <f t="shared" si="0"/>
        <v>250</v>
      </c>
      <c r="L11" s="28">
        <f t="shared" si="1"/>
        <v>2.1987686895338612E-2</v>
      </c>
      <c r="N11" s="13">
        <v>9500</v>
      </c>
      <c r="O11" s="13">
        <f t="shared" si="2"/>
        <v>500</v>
      </c>
      <c r="P11" s="28">
        <f t="shared" si="3"/>
        <v>5.7077625570776253E-2</v>
      </c>
    </row>
    <row r="12" spans="2:16" s="5" customFormat="1" ht="30" customHeight="1" x14ac:dyDescent="0.25">
      <c r="B12" s="12" t="s">
        <v>13</v>
      </c>
      <c r="C12" s="19" t="s">
        <v>41</v>
      </c>
      <c r="D12" s="19" t="s">
        <v>44</v>
      </c>
      <c r="E12" s="19" t="s">
        <v>59</v>
      </c>
      <c r="F12" s="19" t="s">
        <v>41</v>
      </c>
      <c r="G12" s="19" t="s">
        <v>61</v>
      </c>
      <c r="H12" s="13">
        <v>5000</v>
      </c>
      <c r="J12" s="13">
        <v>5125</v>
      </c>
      <c r="K12" s="13">
        <f t="shared" si="0"/>
        <v>-125</v>
      </c>
      <c r="L12" s="28">
        <f t="shared" si="1"/>
        <v>-1.0993843447669306E-2</v>
      </c>
      <c r="N12" s="13">
        <v>4750</v>
      </c>
      <c r="O12" s="13">
        <f t="shared" si="2"/>
        <v>250</v>
      </c>
      <c r="P12" s="28">
        <f t="shared" si="3"/>
        <v>2.8538812785388126E-2</v>
      </c>
    </row>
    <row r="13" spans="2:16" s="5" customFormat="1" ht="30" customHeight="1" x14ac:dyDescent="0.25">
      <c r="B13" s="12" t="s">
        <v>37</v>
      </c>
      <c r="C13" s="19" t="s">
        <v>41</v>
      </c>
      <c r="D13" s="19" t="s">
        <v>44</v>
      </c>
      <c r="E13" s="19" t="s">
        <v>54</v>
      </c>
      <c r="F13" s="19" t="s">
        <v>41</v>
      </c>
      <c r="G13" s="19" t="s">
        <v>61</v>
      </c>
      <c r="H13" s="13">
        <v>1250</v>
      </c>
      <c r="J13" s="13">
        <v>1200</v>
      </c>
      <c r="K13" s="13">
        <f t="shared" si="0"/>
        <v>50</v>
      </c>
      <c r="L13" s="28">
        <f t="shared" si="1"/>
        <v>4.3975373790677225E-3</v>
      </c>
      <c r="N13" s="13">
        <v>1100</v>
      </c>
      <c r="O13" s="13">
        <f t="shared" si="2"/>
        <v>150</v>
      </c>
      <c r="P13" s="28">
        <f t="shared" si="3"/>
        <v>1.7123287671232876E-2</v>
      </c>
    </row>
    <row r="14" spans="2:16" s="5" customFormat="1" ht="30" customHeight="1" x14ac:dyDescent="0.25">
      <c r="B14" s="12" t="s">
        <v>39</v>
      </c>
      <c r="C14" s="19" t="s">
        <v>41</v>
      </c>
      <c r="D14" s="19" t="s">
        <v>44</v>
      </c>
      <c r="E14" s="19" t="s">
        <v>52</v>
      </c>
      <c r="F14" s="19" t="s">
        <v>41</v>
      </c>
      <c r="G14" s="19" t="s">
        <v>61</v>
      </c>
      <c r="H14" s="13">
        <v>26895</v>
      </c>
      <c r="J14" s="13">
        <v>26110</v>
      </c>
      <c r="K14" s="13">
        <f t="shared" si="0"/>
        <v>785</v>
      </c>
      <c r="L14" s="28">
        <f t="shared" si="1"/>
        <v>6.9041336851363239E-2</v>
      </c>
      <c r="N14" s="13">
        <v>25290</v>
      </c>
      <c r="O14" s="13">
        <f t="shared" si="2"/>
        <v>1605</v>
      </c>
      <c r="P14" s="28">
        <f t="shared" si="3"/>
        <v>0.18321917808219179</v>
      </c>
    </row>
    <row r="15" spans="2:16" s="5" customFormat="1" ht="30" customHeight="1" x14ac:dyDescent="0.25">
      <c r="B15" s="12" t="s">
        <v>38</v>
      </c>
      <c r="C15" s="19" t="s">
        <v>41</v>
      </c>
      <c r="D15" s="19" t="s">
        <v>44</v>
      </c>
      <c r="E15" s="19" t="s">
        <v>52</v>
      </c>
      <c r="F15" s="19" t="s">
        <v>57</v>
      </c>
      <c r="G15" s="19" t="s">
        <v>61</v>
      </c>
      <c r="H15" s="13">
        <v>17685</v>
      </c>
      <c r="J15" s="13">
        <v>16905</v>
      </c>
      <c r="K15" s="13">
        <f t="shared" si="0"/>
        <v>780</v>
      </c>
      <c r="L15" s="28">
        <f t="shared" si="1"/>
        <v>6.860158311345646E-2</v>
      </c>
      <c r="N15" s="13">
        <v>16020</v>
      </c>
      <c r="O15" s="13">
        <f t="shared" si="2"/>
        <v>1665</v>
      </c>
      <c r="P15" s="28">
        <f t="shared" si="3"/>
        <v>0.19006849315068494</v>
      </c>
    </row>
    <row r="16" spans="2:16" s="5" customFormat="1" ht="30" customHeight="1" x14ac:dyDescent="0.25">
      <c r="B16" s="12" t="s">
        <v>14</v>
      </c>
      <c r="C16" s="19" t="s">
        <v>41</v>
      </c>
      <c r="D16" s="19" t="s">
        <v>45</v>
      </c>
      <c r="E16" s="19" t="s">
        <v>51</v>
      </c>
      <c r="F16" s="19" t="s">
        <v>57</v>
      </c>
      <c r="G16" s="19" t="s">
        <v>61</v>
      </c>
      <c r="H16" s="13">
        <v>0</v>
      </c>
      <c r="J16" s="13">
        <v>0</v>
      </c>
      <c r="K16" s="13">
        <f t="shared" si="0"/>
        <v>0</v>
      </c>
      <c r="L16" s="28">
        <f t="shared" si="1"/>
        <v>0</v>
      </c>
      <c r="N16" s="13">
        <v>0</v>
      </c>
      <c r="O16" s="13">
        <f t="shared" si="2"/>
        <v>0</v>
      </c>
      <c r="P16" s="28">
        <f t="shared" si="3"/>
        <v>0</v>
      </c>
    </row>
    <row r="17" spans="2:16" s="5" customFormat="1" ht="30" customHeight="1" x14ac:dyDescent="0.25">
      <c r="B17" s="6" t="s">
        <v>7</v>
      </c>
      <c r="C17" s="20" t="s">
        <v>48</v>
      </c>
      <c r="D17" s="20" t="s">
        <v>48</v>
      </c>
      <c r="E17" s="20" t="s">
        <v>48</v>
      </c>
      <c r="F17" s="20" t="s">
        <v>48</v>
      </c>
      <c r="G17" s="20" t="s">
        <v>61</v>
      </c>
      <c r="H17" s="7">
        <f>+H7+H9</f>
        <v>160830</v>
      </c>
      <c r="J17" s="7">
        <f>+J7+J9</f>
        <v>156590</v>
      </c>
      <c r="K17" s="7">
        <f t="shared" si="0"/>
        <v>4240</v>
      </c>
      <c r="L17" s="27">
        <f t="shared" si="1"/>
        <v>0.37291116974494282</v>
      </c>
      <c r="N17" s="7">
        <f>+N7+N9</f>
        <v>151660</v>
      </c>
      <c r="O17" s="7">
        <f t="shared" si="2"/>
        <v>9170</v>
      </c>
      <c r="P17" s="27">
        <f t="shared" si="3"/>
        <v>1.0468036529680365</v>
      </c>
    </row>
    <row r="18" spans="2:16" s="5" customFormat="1" ht="30" customHeight="1" x14ac:dyDescent="0.25">
      <c r="B18" s="10" t="s">
        <v>10</v>
      </c>
      <c r="C18" s="21" t="s">
        <v>46</v>
      </c>
      <c r="D18" s="21" t="s">
        <v>43</v>
      </c>
      <c r="E18" s="21" t="s">
        <v>48</v>
      </c>
      <c r="F18" s="21" t="s">
        <v>41</v>
      </c>
      <c r="G18" s="21" t="s">
        <v>62</v>
      </c>
      <c r="H18" s="11">
        <f>+H19+H20+H21+H22+H23+H24+H25+H26+H27+H28+H29+H30</f>
        <v>-70525</v>
      </c>
      <c r="J18" s="11">
        <f>+J19+J20+J21+J22+J23+J24+J25+J26+J27+J28+J29+J30</f>
        <v>-69325</v>
      </c>
      <c r="K18" s="11">
        <f t="shared" si="0"/>
        <v>-1200</v>
      </c>
      <c r="L18" s="29">
        <f t="shared" si="1"/>
        <v>-0.10554089709762533</v>
      </c>
      <c r="N18" s="11">
        <f>+N19+N20+N21+N22+N23+N24+N25+N26+N27+N28+N29+N30</f>
        <v>-68300</v>
      </c>
      <c r="O18" s="11">
        <f t="shared" si="2"/>
        <v>-2225</v>
      </c>
      <c r="P18" s="29">
        <f t="shared" si="3"/>
        <v>-0.25399543378995432</v>
      </c>
    </row>
    <row r="19" spans="2:16" s="5" customFormat="1" ht="30" customHeight="1" x14ac:dyDescent="0.25">
      <c r="B19" s="14" t="s">
        <v>15</v>
      </c>
      <c r="C19" s="22" t="s">
        <v>46</v>
      </c>
      <c r="D19" s="22" t="s">
        <v>43</v>
      </c>
      <c r="E19" s="22" t="s">
        <v>48</v>
      </c>
      <c r="F19" s="22" t="s">
        <v>41</v>
      </c>
      <c r="G19" s="22" t="s">
        <v>62</v>
      </c>
      <c r="H19" s="15">
        <v>-40000</v>
      </c>
      <c r="J19" s="15">
        <v>-38750</v>
      </c>
      <c r="K19" s="15">
        <f t="shared" si="0"/>
        <v>-1250</v>
      </c>
      <c r="L19" s="30">
        <f t="shared" si="1"/>
        <v>-0.10993843447669305</v>
      </c>
      <c r="N19" s="15">
        <v>-38725</v>
      </c>
      <c r="O19" s="15">
        <f t="shared" si="2"/>
        <v>-1275</v>
      </c>
      <c r="P19" s="30">
        <f t="shared" si="3"/>
        <v>-0.14554794520547945</v>
      </c>
    </row>
    <row r="20" spans="2:16" s="5" customFormat="1" ht="30" customHeight="1" x14ac:dyDescent="0.25">
      <c r="B20" s="14" t="s">
        <v>16</v>
      </c>
      <c r="C20" s="22" t="s">
        <v>46</v>
      </c>
      <c r="D20" s="22" t="s">
        <v>43</v>
      </c>
      <c r="E20" s="22" t="s">
        <v>48</v>
      </c>
      <c r="F20" s="22" t="s">
        <v>41</v>
      </c>
      <c r="G20" s="22" t="s">
        <v>62</v>
      </c>
      <c r="H20" s="15">
        <v>-10000</v>
      </c>
      <c r="J20" s="15">
        <v>-10000</v>
      </c>
      <c r="K20" s="15">
        <f t="shared" si="0"/>
        <v>0</v>
      </c>
      <c r="L20" s="30">
        <f t="shared" si="1"/>
        <v>0</v>
      </c>
      <c r="N20" s="15">
        <v>-9000</v>
      </c>
      <c r="O20" s="15">
        <f t="shared" si="2"/>
        <v>-1000</v>
      </c>
      <c r="P20" s="30">
        <f t="shared" si="3"/>
        <v>-0.11415525114155251</v>
      </c>
    </row>
    <row r="21" spans="2:16" s="5" customFormat="1" ht="30" customHeight="1" x14ac:dyDescent="0.25">
      <c r="B21" s="14" t="s">
        <v>17</v>
      </c>
      <c r="C21" s="22" t="s">
        <v>46</v>
      </c>
      <c r="D21" s="22" t="s">
        <v>43</v>
      </c>
      <c r="E21" s="22" t="s">
        <v>48</v>
      </c>
      <c r="F21" s="22" t="s">
        <v>41</v>
      </c>
      <c r="G21" s="22" t="s">
        <v>62</v>
      </c>
      <c r="H21" s="15">
        <v>-2000</v>
      </c>
      <c r="J21" s="15">
        <v>-2050</v>
      </c>
      <c r="K21" s="15">
        <f t="shared" si="0"/>
        <v>50</v>
      </c>
      <c r="L21" s="30">
        <f t="shared" si="1"/>
        <v>4.3975373790677225E-3</v>
      </c>
      <c r="N21" s="15">
        <v>-2025</v>
      </c>
      <c r="O21" s="15">
        <f t="shared" si="2"/>
        <v>25</v>
      </c>
      <c r="P21" s="30">
        <f t="shared" si="3"/>
        <v>2.8538812785388126E-3</v>
      </c>
    </row>
    <row r="22" spans="2:16" s="5" customFormat="1" ht="30" customHeight="1" x14ac:dyDescent="0.25">
      <c r="B22" s="14" t="s">
        <v>19</v>
      </c>
      <c r="C22" s="22" t="s">
        <v>46</v>
      </c>
      <c r="D22" s="22" t="s">
        <v>43</v>
      </c>
      <c r="E22" s="22" t="s">
        <v>48</v>
      </c>
      <c r="F22" s="22" t="s">
        <v>41</v>
      </c>
      <c r="G22" s="22" t="s">
        <v>62</v>
      </c>
      <c r="H22" s="15">
        <v>-5000</v>
      </c>
      <c r="J22" s="15">
        <v>-4950</v>
      </c>
      <c r="K22" s="15">
        <f t="shared" si="0"/>
        <v>-50</v>
      </c>
      <c r="L22" s="30">
        <f t="shared" si="1"/>
        <v>-4.3975373790677225E-3</v>
      </c>
      <c r="N22" s="15">
        <v>-4975</v>
      </c>
      <c r="O22" s="15">
        <f t="shared" si="2"/>
        <v>-25</v>
      </c>
      <c r="P22" s="30">
        <f t="shared" si="3"/>
        <v>-2.8538812785388126E-3</v>
      </c>
    </row>
    <row r="23" spans="2:16" s="5" customFormat="1" ht="30" customHeight="1" x14ac:dyDescent="0.25">
      <c r="B23" s="14" t="s">
        <v>18</v>
      </c>
      <c r="C23" s="22" t="s">
        <v>46</v>
      </c>
      <c r="D23" s="22" t="s">
        <v>43</v>
      </c>
      <c r="E23" s="22" t="s">
        <v>48</v>
      </c>
      <c r="F23" s="22" t="s">
        <v>41</v>
      </c>
      <c r="G23" s="22" t="s">
        <v>62</v>
      </c>
      <c r="H23" s="15">
        <v>-5000</v>
      </c>
      <c r="J23" s="15">
        <v>-4975</v>
      </c>
      <c r="K23" s="15">
        <f t="shared" si="0"/>
        <v>-25</v>
      </c>
      <c r="L23" s="30">
        <f t="shared" si="1"/>
        <v>-2.1987686895338612E-3</v>
      </c>
      <c r="N23" s="15">
        <v>-4950</v>
      </c>
      <c r="O23" s="15">
        <f t="shared" si="2"/>
        <v>-50</v>
      </c>
      <c r="P23" s="30">
        <f t="shared" si="3"/>
        <v>-5.7077625570776253E-3</v>
      </c>
    </row>
    <row r="24" spans="2:16" s="5" customFormat="1" ht="30" customHeight="1" x14ac:dyDescent="0.25">
      <c r="B24" s="14" t="s">
        <v>20</v>
      </c>
      <c r="C24" s="22" t="s">
        <v>46</v>
      </c>
      <c r="D24" s="22" t="s">
        <v>43</v>
      </c>
      <c r="E24" s="22" t="s">
        <v>48</v>
      </c>
      <c r="F24" s="22" t="s">
        <v>41</v>
      </c>
      <c r="G24" s="22" t="s">
        <v>62</v>
      </c>
      <c r="H24" s="15">
        <v>-1000</v>
      </c>
      <c r="J24" s="15">
        <v>-1050</v>
      </c>
      <c r="K24" s="15">
        <f t="shared" si="0"/>
        <v>50</v>
      </c>
      <c r="L24" s="30">
        <f t="shared" si="1"/>
        <v>4.3975373790677225E-3</v>
      </c>
      <c r="N24" s="15">
        <v>-1075</v>
      </c>
      <c r="O24" s="15">
        <f t="shared" si="2"/>
        <v>75</v>
      </c>
      <c r="P24" s="30">
        <f t="shared" si="3"/>
        <v>8.5616438356164379E-3</v>
      </c>
    </row>
    <row r="25" spans="2:16" s="5" customFormat="1" ht="30" customHeight="1" x14ac:dyDescent="0.25">
      <c r="B25" s="14" t="s">
        <v>21</v>
      </c>
      <c r="C25" s="22" t="s">
        <v>46</v>
      </c>
      <c r="D25" s="22" t="s">
        <v>43</v>
      </c>
      <c r="E25" s="22" t="s">
        <v>48</v>
      </c>
      <c r="F25" s="22" t="s">
        <v>41</v>
      </c>
      <c r="G25" s="22" t="s">
        <v>62</v>
      </c>
      <c r="H25" s="15">
        <v>-5000</v>
      </c>
      <c r="J25" s="15">
        <v>-5025</v>
      </c>
      <c r="K25" s="15">
        <f t="shared" si="0"/>
        <v>25</v>
      </c>
      <c r="L25" s="30">
        <f t="shared" si="1"/>
        <v>2.1987686895338612E-3</v>
      </c>
      <c r="N25" s="15">
        <v>-5000</v>
      </c>
      <c r="O25" s="15">
        <f t="shared" si="2"/>
        <v>0</v>
      </c>
      <c r="P25" s="30">
        <f t="shared" si="3"/>
        <v>0</v>
      </c>
    </row>
    <row r="26" spans="2:16" s="5" customFormat="1" ht="30" customHeight="1" x14ac:dyDescent="0.25">
      <c r="B26" s="14" t="s">
        <v>22</v>
      </c>
      <c r="C26" s="22" t="s">
        <v>46</v>
      </c>
      <c r="D26" s="22" t="s">
        <v>43</v>
      </c>
      <c r="E26" s="22" t="s">
        <v>48</v>
      </c>
      <c r="F26" s="22" t="s">
        <v>57</v>
      </c>
      <c r="G26" s="22" t="s">
        <v>62</v>
      </c>
      <c r="H26" s="15">
        <v>-125</v>
      </c>
      <c r="J26" s="15">
        <v>-75</v>
      </c>
      <c r="K26" s="15">
        <f t="shared" si="0"/>
        <v>-50</v>
      </c>
      <c r="L26" s="30">
        <f t="shared" si="1"/>
        <v>-4.3975373790677225E-3</v>
      </c>
      <c r="N26" s="15">
        <v>-100</v>
      </c>
      <c r="O26" s="15">
        <f t="shared" si="2"/>
        <v>-25</v>
      </c>
      <c r="P26" s="30">
        <f t="shared" si="3"/>
        <v>-2.8538812785388126E-3</v>
      </c>
    </row>
    <row r="27" spans="2:16" s="5" customFormat="1" ht="30" customHeight="1" x14ac:dyDescent="0.25">
      <c r="B27" s="14" t="s">
        <v>29</v>
      </c>
      <c r="C27" s="22" t="s">
        <v>46</v>
      </c>
      <c r="D27" s="22" t="s">
        <v>43</v>
      </c>
      <c r="E27" s="22" t="s">
        <v>48</v>
      </c>
      <c r="F27" s="22" t="s">
        <v>41</v>
      </c>
      <c r="G27" s="22" t="s">
        <v>62</v>
      </c>
      <c r="H27" s="15">
        <v>-1000</v>
      </c>
      <c r="J27" s="15">
        <v>-1000</v>
      </c>
      <c r="K27" s="15">
        <f t="shared" si="0"/>
        <v>0</v>
      </c>
      <c r="L27" s="30">
        <f t="shared" si="1"/>
        <v>0</v>
      </c>
      <c r="N27" s="15">
        <v>-975</v>
      </c>
      <c r="O27" s="15">
        <f t="shared" si="2"/>
        <v>-25</v>
      </c>
      <c r="P27" s="30">
        <f t="shared" si="3"/>
        <v>-2.8538812785388126E-3</v>
      </c>
    </row>
    <row r="28" spans="2:16" s="5" customFormat="1" ht="30" customHeight="1" x14ac:dyDescent="0.25">
      <c r="B28" s="14" t="s">
        <v>30</v>
      </c>
      <c r="C28" s="22" t="s">
        <v>46</v>
      </c>
      <c r="D28" s="22" t="s">
        <v>43</v>
      </c>
      <c r="E28" s="22" t="s">
        <v>48</v>
      </c>
      <c r="F28" s="22" t="s">
        <v>57</v>
      </c>
      <c r="G28" s="22" t="s">
        <v>62</v>
      </c>
      <c r="H28" s="15">
        <v>-1000</v>
      </c>
      <c r="J28" s="15">
        <v>-1000</v>
      </c>
      <c r="K28" s="15">
        <f t="shared" si="0"/>
        <v>0</v>
      </c>
      <c r="L28" s="30">
        <f t="shared" si="1"/>
        <v>0</v>
      </c>
      <c r="N28" s="15">
        <v>-1025</v>
      </c>
      <c r="O28" s="15">
        <f t="shared" si="2"/>
        <v>25</v>
      </c>
      <c r="P28" s="30">
        <f t="shared" si="3"/>
        <v>2.8538812785388126E-3</v>
      </c>
    </row>
    <row r="29" spans="2:16" s="5" customFormat="1" ht="30" customHeight="1" x14ac:dyDescent="0.25">
      <c r="B29" s="14" t="s">
        <v>31</v>
      </c>
      <c r="C29" s="22" t="s">
        <v>46</v>
      </c>
      <c r="D29" s="22" t="s">
        <v>43</v>
      </c>
      <c r="E29" s="22" t="s">
        <v>48</v>
      </c>
      <c r="F29" s="22" t="s">
        <v>57</v>
      </c>
      <c r="G29" s="22" t="s">
        <v>62</v>
      </c>
      <c r="H29" s="15">
        <v>-250</v>
      </c>
      <c r="J29" s="15">
        <v>-250</v>
      </c>
      <c r="K29" s="15">
        <f t="shared" si="0"/>
        <v>0</v>
      </c>
      <c r="L29" s="30">
        <f t="shared" si="1"/>
        <v>0</v>
      </c>
      <c r="N29" s="15">
        <v>-225</v>
      </c>
      <c r="O29" s="15">
        <f t="shared" si="2"/>
        <v>-25</v>
      </c>
      <c r="P29" s="30">
        <f t="shared" si="3"/>
        <v>-2.8538812785388126E-3</v>
      </c>
    </row>
    <row r="30" spans="2:16" s="5" customFormat="1" ht="30" customHeight="1" x14ac:dyDescent="0.25">
      <c r="B30" s="14" t="s">
        <v>23</v>
      </c>
      <c r="C30" s="22" t="s">
        <v>46</v>
      </c>
      <c r="D30" s="22" t="s">
        <v>43</v>
      </c>
      <c r="E30" s="22" t="s">
        <v>48</v>
      </c>
      <c r="F30" s="22" t="s">
        <v>41</v>
      </c>
      <c r="G30" s="22" t="s">
        <v>62</v>
      </c>
      <c r="H30" s="15">
        <v>-150</v>
      </c>
      <c r="J30" s="15">
        <v>-200</v>
      </c>
      <c r="K30" s="15">
        <f t="shared" si="0"/>
        <v>50</v>
      </c>
      <c r="L30" s="30">
        <f t="shared" si="1"/>
        <v>4.3975373790677225E-3</v>
      </c>
      <c r="N30" s="15">
        <v>-225</v>
      </c>
      <c r="O30" s="15">
        <f t="shared" si="2"/>
        <v>75</v>
      </c>
      <c r="P30" s="30">
        <f t="shared" si="3"/>
        <v>8.5616438356164379E-3</v>
      </c>
    </row>
    <row r="31" spans="2:16" s="5" customFormat="1" ht="30" customHeight="1" x14ac:dyDescent="0.25">
      <c r="B31" s="10" t="s">
        <v>28</v>
      </c>
      <c r="C31" s="21" t="s">
        <v>48</v>
      </c>
      <c r="D31" s="21" t="s">
        <v>48</v>
      </c>
      <c r="E31" s="21" t="s">
        <v>48</v>
      </c>
      <c r="F31" s="21" t="s">
        <v>48</v>
      </c>
      <c r="G31" s="21" t="s">
        <v>62</v>
      </c>
      <c r="H31" s="11">
        <f>+H32+H33+H34+H35+H36+H37+H38+H39+H40</f>
        <v>-77200</v>
      </c>
      <c r="J31" s="11">
        <f>+J32+J33+J34+J35+J36+J37+J38+J39+J40</f>
        <v>-77145</v>
      </c>
      <c r="K31" s="11">
        <f t="shared" si="0"/>
        <v>-55</v>
      </c>
      <c r="L31" s="29">
        <f t="shared" si="1"/>
        <v>-4.837291116974494E-3</v>
      </c>
      <c r="N31" s="11">
        <f>+N32+N33+N34+N35+N36+N37+N38+N39+N40</f>
        <v>-75850</v>
      </c>
      <c r="O31" s="11">
        <f t="shared" si="2"/>
        <v>-1350</v>
      </c>
      <c r="P31" s="29">
        <f t="shared" si="3"/>
        <v>-0.1541095890410959</v>
      </c>
    </row>
    <row r="32" spans="2:16" s="5" customFormat="1" ht="30" customHeight="1" x14ac:dyDescent="0.25">
      <c r="B32" s="14" t="s">
        <v>24</v>
      </c>
      <c r="C32" s="22" t="s">
        <v>41</v>
      </c>
      <c r="D32" s="22" t="s">
        <v>47</v>
      </c>
      <c r="E32" s="22" t="s">
        <v>51</v>
      </c>
      <c r="F32" s="22" t="s">
        <v>41</v>
      </c>
      <c r="G32" s="22" t="s">
        <v>62</v>
      </c>
      <c r="H32" s="15">
        <v>0</v>
      </c>
      <c r="J32" s="15">
        <v>0</v>
      </c>
      <c r="K32" s="15">
        <f t="shared" si="0"/>
        <v>0</v>
      </c>
      <c r="L32" s="30">
        <f t="shared" si="1"/>
        <v>0</v>
      </c>
      <c r="N32" s="15">
        <v>0</v>
      </c>
      <c r="O32" s="15">
        <f t="shared" si="2"/>
        <v>0</v>
      </c>
      <c r="P32" s="30">
        <f t="shared" si="3"/>
        <v>0</v>
      </c>
    </row>
    <row r="33" spans="2:16" s="5" customFormat="1" ht="30" customHeight="1" x14ac:dyDescent="0.25">
      <c r="B33" s="14" t="s">
        <v>35</v>
      </c>
      <c r="C33" s="22" t="s">
        <v>46</v>
      </c>
      <c r="D33" s="22" t="s">
        <v>44</v>
      </c>
      <c r="E33" s="22" t="s">
        <v>52</v>
      </c>
      <c r="F33" s="22" t="s">
        <v>57</v>
      </c>
      <c r="G33" s="22" t="s">
        <v>62</v>
      </c>
      <c r="H33" s="15">
        <v>-12500</v>
      </c>
      <c r="J33" s="15">
        <v>-13750</v>
      </c>
      <c r="K33" s="15">
        <f t="shared" si="0"/>
        <v>1250</v>
      </c>
      <c r="L33" s="30">
        <f t="shared" si="1"/>
        <v>0.10993843447669305</v>
      </c>
      <c r="N33" s="15">
        <v>-14250</v>
      </c>
      <c r="O33" s="15">
        <f t="shared" si="2"/>
        <v>1750</v>
      </c>
      <c r="P33" s="30">
        <f t="shared" si="3"/>
        <v>0.1997716894977169</v>
      </c>
    </row>
    <row r="34" spans="2:16" s="5" customFormat="1" ht="30" customHeight="1" x14ac:dyDescent="0.25">
      <c r="B34" s="14" t="s">
        <v>26</v>
      </c>
      <c r="C34" s="22" t="s">
        <v>46</v>
      </c>
      <c r="D34" s="22" t="s">
        <v>44</v>
      </c>
      <c r="E34" s="19" t="s">
        <v>53</v>
      </c>
      <c r="F34" s="19" t="s">
        <v>57</v>
      </c>
      <c r="G34" s="19" t="s">
        <v>62</v>
      </c>
      <c r="H34" s="15">
        <v>-9950</v>
      </c>
      <c r="J34" s="15">
        <v>-9995</v>
      </c>
      <c r="K34" s="15">
        <f t="shared" si="0"/>
        <v>45</v>
      </c>
      <c r="L34" s="30">
        <f t="shared" si="1"/>
        <v>3.9577836411609502E-3</v>
      </c>
      <c r="N34" s="15">
        <v>-9950</v>
      </c>
      <c r="O34" s="15">
        <f t="shared" si="2"/>
        <v>0</v>
      </c>
      <c r="P34" s="30">
        <f t="shared" si="3"/>
        <v>0</v>
      </c>
    </row>
    <row r="35" spans="2:16" s="5" customFormat="1" ht="30" customHeight="1" x14ac:dyDescent="0.25">
      <c r="B35" s="14" t="s">
        <v>36</v>
      </c>
      <c r="C35" s="22" t="s">
        <v>46</v>
      </c>
      <c r="D35" s="22" t="s">
        <v>44</v>
      </c>
      <c r="E35" s="22" t="s">
        <v>54</v>
      </c>
      <c r="F35" s="22" t="s">
        <v>57</v>
      </c>
      <c r="G35" s="22" t="s">
        <v>62</v>
      </c>
      <c r="H35" s="15">
        <v>-750</v>
      </c>
      <c r="J35" s="15">
        <v>-500</v>
      </c>
      <c r="K35" s="15">
        <f t="shared" si="0"/>
        <v>-250</v>
      </c>
      <c r="L35" s="30">
        <f t="shared" si="1"/>
        <v>-2.1987686895338612E-2</v>
      </c>
      <c r="N35" s="15">
        <v>-950</v>
      </c>
      <c r="O35" s="15">
        <f t="shared" si="2"/>
        <v>200</v>
      </c>
      <c r="P35" s="30">
        <f t="shared" si="3"/>
        <v>2.2831050228310501E-2</v>
      </c>
    </row>
    <row r="36" spans="2:16" s="5" customFormat="1" ht="30" customHeight="1" x14ac:dyDescent="0.25">
      <c r="B36" s="14" t="s">
        <v>40</v>
      </c>
      <c r="C36" s="22" t="s">
        <v>46</v>
      </c>
      <c r="D36" s="22" t="s">
        <v>44</v>
      </c>
      <c r="E36" s="22" t="s">
        <v>52</v>
      </c>
      <c r="F36" s="22" t="s">
        <v>57</v>
      </c>
      <c r="G36" s="22" t="s">
        <v>62</v>
      </c>
      <c r="H36" s="15">
        <v>-13500</v>
      </c>
      <c r="J36" s="15">
        <v>-13150</v>
      </c>
      <c r="K36" s="15">
        <f t="shared" si="0"/>
        <v>-350</v>
      </c>
      <c r="L36" s="30">
        <f t="shared" si="1"/>
        <v>-3.0782761653474055E-2</v>
      </c>
      <c r="N36" s="15">
        <v>-12650</v>
      </c>
      <c r="O36" s="15">
        <f t="shared" si="2"/>
        <v>-850</v>
      </c>
      <c r="P36" s="30">
        <f t="shared" si="3"/>
        <v>-9.7031963470319629E-2</v>
      </c>
    </row>
    <row r="37" spans="2:16" s="5" customFormat="1" ht="30" customHeight="1" x14ac:dyDescent="0.25">
      <c r="B37" s="14" t="s">
        <v>66</v>
      </c>
      <c r="C37" s="22" t="s">
        <v>41</v>
      </c>
      <c r="D37" s="22" t="s">
        <v>47</v>
      </c>
      <c r="E37" s="22" t="s">
        <v>52</v>
      </c>
      <c r="F37" s="22" t="s">
        <v>57</v>
      </c>
      <c r="G37" s="26" t="s">
        <v>64</v>
      </c>
      <c r="H37" s="15">
        <v>-20000</v>
      </c>
      <c r="J37" s="15">
        <v>-19500</v>
      </c>
      <c r="K37" s="15">
        <f t="shared" si="0"/>
        <v>-500</v>
      </c>
      <c r="L37" s="30">
        <f t="shared" si="1"/>
        <v>-4.3975373790677223E-2</v>
      </c>
      <c r="N37" s="15">
        <v>-19000</v>
      </c>
      <c r="O37" s="15">
        <f t="shared" si="2"/>
        <v>-1000</v>
      </c>
      <c r="P37" s="30">
        <f t="shared" si="3"/>
        <v>-0.11415525114155251</v>
      </c>
    </row>
    <row r="38" spans="2:16" s="5" customFormat="1" ht="30" customHeight="1" x14ac:dyDescent="0.25">
      <c r="B38" s="14" t="s">
        <v>58</v>
      </c>
      <c r="C38" s="22" t="s">
        <v>46</v>
      </c>
      <c r="D38" s="22" t="s">
        <v>44</v>
      </c>
      <c r="E38" s="22" t="s">
        <v>52</v>
      </c>
      <c r="F38" s="22" t="s">
        <v>41</v>
      </c>
      <c r="G38" s="22" t="s">
        <v>62</v>
      </c>
      <c r="H38" s="15">
        <v>0</v>
      </c>
      <c r="J38" s="15">
        <v>0</v>
      </c>
      <c r="K38" s="15">
        <f t="shared" si="0"/>
        <v>0</v>
      </c>
      <c r="L38" s="30">
        <f t="shared" si="1"/>
        <v>0</v>
      </c>
      <c r="N38" s="15">
        <v>0</v>
      </c>
      <c r="O38" s="15">
        <f t="shared" si="2"/>
        <v>0</v>
      </c>
      <c r="P38" s="30">
        <f t="shared" si="3"/>
        <v>0</v>
      </c>
    </row>
    <row r="39" spans="2:16" s="5" customFormat="1" ht="30" customHeight="1" x14ac:dyDescent="0.25">
      <c r="B39" s="14" t="s">
        <v>27</v>
      </c>
      <c r="C39" s="22" t="s">
        <v>46</v>
      </c>
      <c r="D39" s="22" t="s">
        <v>55</v>
      </c>
      <c r="E39" s="19" t="s">
        <v>53</v>
      </c>
      <c r="F39" s="19" t="s">
        <v>41</v>
      </c>
      <c r="G39" s="19" t="s">
        <v>62</v>
      </c>
      <c r="H39" s="15">
        <v>0</v>
      </c>
      <c r="J39" s="15">
        <v>0</v>
      </c>
      <c r="K39" s="15">
        <f t="shared" si="0"/>
        <v>0</v>
      </c>
      <c r="L39" s="30">
        <f t="shared" si="1"/>
        <v>0</v>
      </c>
      <c r="N39" s="15">
        <v>0</v>
      </c>
      <c r="O39" s="15">
        <f t="shared" si="2"/>
        <v>0</v>
      </c>
      <c r="P39" s="30">
        <f t="shared" si="3"/>
        <v>0</v>
      </c>
    </row>
    <row r="40" spans="2:16" s="5" customFormat="1" ht="30" customHeight="1" x14ac:dyDescent="0.25">
      <c r="B40" s="14" t="s">
        <v>25</v>
      </c>
      <c r="C40" s="22" t="s">
        <v>41</v>
      </c>
      <c r="D40" s="22" t="s">
        <v>47</v>
      </c>
      <c r="E40" s="22" t="s">
        <v>52</v>
      </c>
      <c r="F40" s="22" t="s">
        <v>41</v>
      </c>
      <c r="G40" s="22" t="s">
        <v>62</v>
      </c>
      <c r="H40" s="15">
        <v>-20500</v>
      </c>
      <c r="J40" s="15">
        <v>-20250</v>
      </c>
      <c r="K40" s="15">
        <f t="shared" si="0"/>
        <v>-250</v>
      </c>
      <c r="L40" s="30">
        <f t="shared" si="1"/>
        <v>-2.1987686895338612E-2</v>
      </c>
      <c r="N40" s="15">
        <v>-19050</v>
      </c>
      <c r="O40" s="15">
        <f t="shared" si="2"/>
        <v>-1450</v>
      </c>
      <c r="P40" s="30">
        <f t="shared" si="3"/>
        <v>-0.16552511415525115</v>
      </c>
    </row>
    <row r="41" spans="2:16" s="5" customFormat="1" ht="30" customHeight="1" x14ac:dyDescent="0.25">
      <c r="B41" s="10" t="s">
        <v>86</v>
      </c>
      <c r="C41" s="21" t="s">
        <v>48</v>
      </c>
      <c r="D41" s="21" t="s">
        <v>48</v>
      </c>
      <c r="E41" s="21" t="s">
        <v>48</v>
      </c>
      <c r="F41" s="21" t="s">
        <v>48</v>
      </c>
      <c r="G41" s="21" t="s">
        <v>62</v>
      </c>
      <c r="H41" s="11">
        <f>+H18+H31-H28-H29</f>
        <v>-146475</v>
      </c>
      <c r="J41" s="11">
        <f>+J18+J31-J28-J29</f>
        <v>-145220</v>
      </c>
      <c r="K41" s="11">
        <f t="shared" si="0"/>
        <v>-1255</v>
      </c>
      <c r="L41" s="29">
        <f t="shared" si="1"/>
        <v>-0.11037818821459983</v>
      </c>
      <c r="N41" s="11">
        <f>+N18+N31-N28-N29</f>
        <v>-142900</v>
      </c>
      <c r="O41" s="11">
        <f t="shared" si="2"/>
        <v>-3575</v>
      </c>
      <c r="P41" s="29">
        <f t="shared" si="3"/>
        <v>-0.40810502283105021</v>
      </c>
    </row>
    <row r="42" spans="2:16" ht="30" customHeight="1" x14ac:dyDescent="0.25">
      <c r="B42" s="8" t="s">
        <v>33</v>
      </c>
      <c r="C42" s="24" t="s">
        <v>41</v>
      </c>
      <c r="D42" s="24" t="s">
        <v>33</v>
      </c>
      <c r="E42" s="24" t="s">
        <v>48</v>
      </c>
      <c r="F42" s="24" t="s">
        <v>57</v>
      </c>
      <c r="G42" s="24" t="s">
        <v>61</v>
      </c>
      <c r="H42" s="9">
        <f>+H17+H41</f>
        <v>14355</v>
      </c>
      <c r="J42" s="9">
        <f>+J17+J41</f>
        <v>11370</v>
      </c>
      <c r="K42" s="9">
        <f t="shared" si="0"/>
        <v>2985</v>
      </c>
      <c r="L42" s="31">
        <f>+K42/$J$42</f>
        <v>0.26253298153034299</v>
      </c>
      <c r="N42" s="9">
        <f>+N17+N41</f>
        <v>8760</v>
      </c>
      <c r="O42" s="9">
        <f t="shared" si="2"/>
        <v>5595</v>
      </c>
      <c r="P42" s="31">
        <f>+O42/$N$42</f>
        <v>0.63869863013698636</v>
      </c>
    </row>
    <row r="43" spans="2:16" ht="30" customHeight="1" x14ac:dyDescent="0.25">
      <c r="B43" s="8" t="s">
        <v>34</v>
      </c>
      <c r="C43" s="24" t="s">
        <v>41</v>
      </c>
      <c r="D43" s="24" t="s">
        <v>33</v>
      </c>
      <c r="E43" s="24" t="s">
        <v>48</v>
      </c>
      <c r="F43" s="24" t="s">
        <v>57</v>
      </c>
      <c r="G43" s="24" t="s">
        <v>61</v>
      </c>
      <c r="H43" s="9">
        <f>+H44+H45+H46+H47+H48</f>
        <v>14355</v>
      </c>
      <c r="J43" s="9">
        <f>+J44+J45+J46+J47+J48</f>
        <v>11370</v>
      </c>
      <c r="K43" s="9">
        <f t="shared" si="0"/>
        <v>2985</v>
      </c>
      <c r="L43" s="31">
        <f t="shared" ref="L43:L48" si="4">+K43/$J$42</f>
        <v>0.26253298153034299</v>
      </c>
      <c r="N43" s="9">
        <f>+N44+N45+N46+N47+N48</f>
        <v>8760</v>
      </c>
      <c r="O43" s="9">
        <f t="shared" si="2"/>
        <v>5595</v>
      </c>
      <c r="P43" s="31">
        <f t="shared" ref="P43:P48" si="5">+O43/$N$42</f>
        <v>0.63869863013698636</v>
      </c>
    </row>
    <row r="44" spans="2:16" ht="30" customHeight="1" x14ac:dyDescent="0.25">
      <c r="B44" s="16" t="s">
        <v>32</v>
      </c>
      <c r="C44" s="22" t="s">
        <v>41</v>
      </c>
      <c r="D44" s="22" t="s">
        <v>45</v>
      </c>
      <c r="E44" s="22" t="s">
        <v>48</v>
      </c>
      <c r="F44" s="22" t="s">
        <v>48</v>
      </c>
      <c r="G44" s="22" t="s">
        <v>61</v>
      </c>
      <c r="H44" s="17">
        <f>+H7+H18</f>
        <v>29475</v>
      </c>
      <c r="J44" s="17">
        <f>+J7+J18</f>
        <v>28175</v>
      </c>
      <c r="K44" s="17">
        <f t="shared" si="0"/>
        <v>1300</v>
      </c>
      <c r="L44" s="32">
        <f t="shared" si="4"/>
        <v>0.11433597185576078</v>
      </c>
      <c r="N44" s="17">
        <f>+N7+N18</f>
        <v>26700</v>
      </c>
      <c r="O44" s="17">
        <f t="shared" si="2"/>
        <v>2775</v>
      </c>
      <c r="P44" s="32">
        <f t="shared" si="5"/>
        <v>0.31678082191780821</v>
      </c>
    </row>
    <row r="45" spans="2:16" ht="30" customHeight="1" x14ac:dyDescent="0.25">
      <c r="B45" s="16" t="s">
        <v>30</v>
      </c>
      <c r="C45" s="22" t="s">
        <v>48</v>
      </c>
      <c r="D45" s="22" t="s">
        <v>48</v>
      </c>
      <c r="E45" s="22" t="s">
        <v>48</v>
      </c>
      <c r="F45" s="22" t="s">
        <v>48</v>
      </c>
      <c r="G45" s="22" t="s">
        <v>61</v>
      </c>
      <c r="H45" s="17">
        <f>-H28</f>
        <v>1000</v>
      </c>
      <c r="J45" s="17">
        <f>-J28</f>
        <v>1000</v>
      </c>
      <c r="K45" s="17">
        <f t="shared" si="0"/>
        <v>0</v>
      </c>
      <c r="L45" s="32">
        <f t="shared" si="4"/>
        <v>0</v>
      </c>
      <c r="N45" s="17">
        <f>-N28</f>
        <v>1025</v>
      </c>
      <c r="O45" s="17">
        <f t="shared" si="2"/>
        <v>-25</v>
      </c>
      <c r="P45" s="32">
        <f t="shared" si="5"/>
        <v>-2.8538812785388126E-3</v>
      </c>
    </row>
    <row r="46" spans="2:16" ht="30" customHeight="1" x14ac:dyDescent="0.25">
      <c r="B46" s="16" t="s">
        <v>31</v>
      </c>
      <c r="C46" s="22" t="s">
        <v>48</v>
      </c>
      <c r="D46" s="22" t="s">
        <v>48</v>
      </c>
      <c r="E46" s="22" t="s">
        <v>48</v>
      </c>
      <c r="F46" s="22" t="s">
        <v>48</v>
      </c>
      <c r="G46" s="22" t="s">
        <v>61</v>
      </c>
      <c r="H46" s="17">
        <f>-H29</f>
        <v>250</v>
      </c>
      <c r="J46" s="17">
        <f>-J29</f>
        <v>250</v>
      </c>
      <c r="K46" s="17">
        <f t="shared" si="0"/>
        <v>0</v>
      </c>
      <c r="L46" s="32">
        <f t="shared" si="4"/>
        <v>0</v>
      </c>
      <c r="N46" s="17">
        <f>-N29</f>
        <v>225</v>
      </c>
      <c r="O46" s="17">
        <f t="shared" si="2"/>
        <v>25</v>
      </c>
      <c r="P46" s="32">
        <f t="shared" si="5"/>
        <v>2.8538812785388126E-3</v>
      </c>
    </row>
    <row r="47" spans="2:16" ht="30" customHeight="1" x14ac:dyDescent="0.25">
      <c r="B47" s="16" t="s">
        <v>9</v>
      </c>
      <c r="C47" s="22" t="s">
        <v>48</v>
      </c>
      <c r="D47" s="22" t="s">
        <v>48</v>
      </c>
      <c r="E47" s="22" t="s">
        <v>48</v>
      </c>
      <c r="F47" s="22" t="s">
        <v>48</v>
      </c>
      <c r="G47" s="22" t="s">
        <v>61</v>
      </c>
      <c r="H47" s="17">
        <f>+H9</f>
        <v>60830</v>
      </c>
      <c r="J47" s="17">
        <f>+J9</f>
        <v>59090</v>
      </c>
      <c r="K47" s="17">
        <f t="shared" si="0"/>
        <v>1740</v>
      </c>
      <c r="L47" s="32">
        <f t="shared" si="4"/>
        <v>0.15303430079155672</v>
      </c>
      <c r="N47" s="17">
        <f>+N9</f>
        <v>56660</v>
      </c>
      <c r="O47" s="17">
        <f t="shared" si="2"/>
        <v>4170</v>
      </c>
      <c r="P47" s="32">
        <f t="shared" si="5"/>
        <v>0.47602739726027399</v>
      </c>
    </row>
    <row r="48" spans="2:16" ht="30" customHeight="1" x14ac:dyDescent="0.25">
      <c r="B48" s="16" t="s">
        <v>67</v>
      </c>
      <c r="C48" s="22" t="s">
        <v>48</v>
      </c>
      <c r="D48" s="22" t="s">
        <v>48</v>
      </c>
      <c r="E48" s="22" t="s">
        <v>48</v>
      </c>
      <c r="F48" s="22" t="s">
        <v>48</v>
      </c>
      <c r="G48" s="22" t="s">
        <v>61</v>
      </c>
      <c r="H48" s="17">
        <f>+H31</f>
        <v>-77200</v>
      </c>
      <c r="J48" s="17">
        <f>+J31</f>
        <v>-77145</v>
      </c>
      <c r="K48" s="17">
        <f t="shared" si="0"/>
        <v>-55</v>
      </c>
      <c r="L48" s="32">
        <f t="shared" si="4"/>
        <v>-4.837291116974494E-3</v>
      </c>
      <c r="N48" s="17">
        <f>+N31</f>
        <v>-75850</v>
      </c>
      <c r="O48" s="17">
        <f t="shared" si="2"/>
        <v>-1350</v>
      </c>
      <c r="P48" s="32">
        <f t="shared" si="5"/>
        <v>-0.1541095890410959</v>
      </c>
    </row>
    <row r="50" spans="8:14" x14ac:dyDescent="0.25">
      <c r="H50" s="18"/>
      <c r="J50" s="18"/>
      <c r="N50" s="18"/>
    </row>
    <row r="51" spans="8:14" x14ac:dyDescent="0.25">
      <c r="H51" s="18"/>
    </row>
  </sheetData>
  <mergeCells count="14">
    <mergeCell ref="B2:P2"/>
    <mergeCell ref="D4:D6"/>
    <mergeCell ref="C4:C6"/>
    <mergeCell ref="E4:E6"/>
    <mergeCell ref="F4:F6"/>
    <mergeCell ref="H4:H6"/>
    <mergeCell ref="K4:K6"/>
    <mergeCell ref="J4:J6"/>
    <mergeCell ref="G4:G6"/>
    <mergeCell ref="B4:B6"/>
    <mergeCell ref="L4:L6"/>
    <mergeCell ref="N4:N6"/>
    <mergeCell ref="O4:O6"/>
    <mergeCell ref="P4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0"/>
  <sheetViews>
    <sheetView tabSelected="1" workbookViewId="0">
      <pane ySplit="10" topLeftCell="A11" activePane="bottomLeft" state="frozen"/>
      <selection pane="bottomLeft" activeCell="B11" sqref="B11"/>
    </sheetView>
  </sheetViews>
  <sheetFormatPr baseColWidth="10" defaultRowHeight="15" x14ac:dyDescent="0.25"/>
  <cols>
    <col min="1" max="1" width="5.7109375" style="1" customWidth="1"/>
    <col min="2" max="2" width="12.7109375" style="4" customWidth="1"/>
    <col min="3" max="3" width="8.140625" style="23" bestFit="1" customWidth="1"/>
    <col min="4" max="4" width="9.140625" style="23" bestFit="1" customWidth="1"/>
    <col min="5" max="5" width="11.5703125" style="23" customWidth="1"/>
    <col min="6" max="6" width="8.7109375" style="23" customWidth="1"/>
    <col min="7" max="7" width="10.7109375" style="23" customWidth="1"/>
    <col min="8" max="8" width="1.7109375" style="2" customWidth="1"/>
    <col min="9" max="10" width="9.140625" style="23" customWidth="1"/>
    <col min="11" max="11" width="11.5703125" style="23" customWidth="1"/>
    <col min="12" max="12" width="8.7109375" style="23" customWidth="1"/>
    <col min="13" max="13" width="10.7109375" style="23" customWidth="1"/>
    <col min="14" max="18" width="9.5703125" style="2" customWidth="1"/>
    <col min="19" max="19" width="1.7109375" style="2" customWidth="1"/>
    <col min="20" max="20" width="8.140625" style="23" customWidth="1"/>
    <col min="21" max="21" width="9.140625" style="23" bestFit="1" customWidth="1"/>
    <col min="22" max="22" width="11.5703125" style="23" customWidth="1"/>
    <col min="23" max="23" width="8.7109375" style="23" customWidth="1"/>
    <col min="24" max="24" width="10.7109375" style="23" customWidth="1"/>
    <col min="25" max="29" width="9.5703125" style="2" customWidth="1"/>
    <col min="30" max="16384" width="11.42578125" style="1"/>
  </cols>
  <sheetData>
    <row r="2" spans="1:29" ht="32.25" x14ac:dyDescent="0.5">
      <c r="B2" s="43" t="s">
        <v>69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4" spans="1:29" ht="15" customHeight="1" x14ac:dyDescent="0.25">
      <c r="A4" s="33"/>
      <c r="B4" s="59" t="s">
        <v>0</v>
      </c>
      <c r="C4" s="53" t="s">
        <v>2</v>
      </c>
      <c r="D4" s="54"/>
      <c r="E4" s="54"/>
      <c r="F4" s="54"/>
      <c r="G4" s="55"/>
      <c r="H4" s="34"/>
      <c r="I4" s="53" t="s">
        <v>4</v>
      </c>
      <c r="J4" s="54"/>
      <c r="K4" s="54"/>
      <c r="L4" s="54"/>
      <c r="M4" s="54"/>
      <c r="N4" s="54"/>
      <c r="O4" s="54"/>
      <c r="P4" s="54"/>
      <c r="Q4" s="54"/>
      <c r="R4" s="55"/>
      <c r="S4" s="34"/>
      <c r="T4" s="53" t="s">
        <v>3</v>
      </c>
      <c r="U4" s="54"/>
      <c r="V4" s="54"/>
      <c r="W4" s="54"/>
      <c r="X4" s="54"/>
      <c r="Y4" s="54"/>
      <c r="Z4" s="54"/>
      <c r="AA4" s="54"/>
      <c r="AB4" s="54"/>
      <c r="AC4" s="55"/>
    </row>
    <row r="5" spans="1:29" ht="15" customHeight="1" x14ac:dyDescent="0.25">
      <c r="A5" s="33"/>
      <c r="B5" s="60"/>
      <c r="C5" s="56" t="s">
        <v>71</v>
      </c>
      <c r="D5" s="56" t="s">
        <v>72</v>
      </c>
      <c r="E5" s="56" t="s">
        <v>77</v>
      </c>
      <c r="F5" s="56" t="s">
        <v>73</v>
      </c>
      <c r="G5" s="56" t="s">
        <v>81</v>
      </c>
      <c r="H5" s="34"/>
      <c r="I5" s="56" t="s">
        <v>71</v>
      </c>
      <c r="J5" s="56" t="s">
        <v>72</v>
      </c>
      <c r="K5" s="56" t="s">
        <v>77</v>
      </c>
      <c r="L5" s="56" t="s">
        <v>73</v>
      </c>
      <c r="M5" s="56" t="s">
        <v>81</v>
      </c>
      <c r="N5" s="56" t="s">
        <v>1</v>
      </c>
      <c r="O5" s="56" t="s">
        <v>74</v>
      </c>
      <c r="P5" s="56" t="s">
        <v>75</v>
      </c>
      <c r="Q5" s="56" t="s">
        <v>76</v>
      </c>
      <c r="R5" s="56" t="s">
        <v>88</v>
      </c>
      <c r="S5" s="34"/>
      <c r="T5" s="56" t="s">
        <v>71</v>
      </c>
      <c r="U5" s="56" t="s">
        <v>72</v>
      </c>
      <c r="V5" s="56" t="s">
        <v>77</v>
      </c>
      <c r="W5" s="56" t="s">
        <v>73</v>
      </c>
      <c r="X5" s="56" t="s">
        <v>81</v>
      </c>
      <c r="Y5" s="56" t="s">
        <v>1</v>
      </c>
      <c r="Z5" s="56" t="s">
        <v>78</v>
      </c>
      <c r="AA5" s="56" t="s">
        <v>79</v>
      </c>
      <c r="AB5" s="56" t="s">
        <v>80</v>
      </c>
      <c r="AC5" s="56" t="s">
        <v>88</v>
      </c>
    </row>
    <row r="6" spans="1:29" ht="15" customHeight="1" x14ac:dyDescent="0.25">
      <c r="A6" s="33"/>
      <c r="B6" s="60"/>
      <c r="C6" s="57"/>
      <c r="D6" s="57"/>
      <c r="E6" s="57"/>
      <c r="F6" s="57"/>
      <c r="G6" s="57"/>
      <c r="H6" s="34"/>
      <c r="I6" s="57"/>
      <c r="J6" s="57"/>
      <c r="K6" s="57"/>
      <c r="L6" s="57"/>
      <c r="M6" s="57"/>
      <c r="N6" s="57"/>
      <c r="O6" s="57"/>
      <c r="P6" s="57"/>
      <c r="Q6" s="57"/>
      <c r="R6" s="57"/>
      <c r="S6" s="34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29" ht="15" customHeight="1" x14ac:dyDescent="0.25">
      <c r="A7" s="33"/>
      <c r="B7" s="60"/>
      <c r="C7" s="57"/>
      <c r="D7" s="57"/>
      <c r="E7" s="57"/>
      <c r="F7" s="57"/>
      <c r="G7" s="57"/>
      <c r="H7" s="34"/>
      <c r="I7" s="57"/>
      <c r="J7" s="57"/>
      <c r="K7" s="57"/>
      <c r="L7" s="57"/>
      <c r="M7" s="57"/>
      <c r="N7" s="57"/>
      <c r="O7" s="57"/>
      <c r="P7" s="57"/>
      <c r="Q7" s="57"/>
      <c r="R7" s="57"/>
      <c r="S7" s="34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29" ht="15" customHeight="1" x14ac:dyDescent="0.25">
      <c r="A8" s="33"/>
      <c r="B8" s="60"/>
      <c r="C8" s="57"/>
      <c r="D8" s="57"/>
      <c r="E8" s="57"/>
      <c r="F8" s="57"/>
      <c r="G8" s="57"/>
      <c r="H8" s="34"/>
      <c r="I8" s="57"/>
      <c r="J8" s="57"/>
      <c r="K8" s="57"/>
      <c r="L8" s="57"/>
      <c r="M8" s="57"/>
      <c r="N8" s="57"/>
      <c r="O8" s="57"/>
      <c r="P8" s="57"/>
      <c r="Q8" s="57"/>
      <c r="R8" s="57"/>
      <c r="S8" s="34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1:29" ht="15" customHeight="1" x14ac:dyDescent="0.25">
      <c r="A9" s="33"/>
      <c r="B9" s="60"/>
      <c r="C9" s="57"/>
      <c r="D9" s="57"/>
      <c r="E9" s="57"/>
      <c r="F9" s="57"/>
      <c r="G9" s="57"/>
      <c r="H9" s="34"/>
      <c r="I9" s="57"/>
      <c r="J9" s="57"/>
      <c r="K9" s="57"/>
      <c r="L9" s="57"/>
      <c r="M9" s="57"/>
      <c r="N9" s="57"/>
      <c r="O9" s="57"/>
      <c r="P9" s="57"/>
      <c r="Q9" s="57"/>
      <c r="R9" s="57"/>
      <c r="S9" s="34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pans="1:29" x14ac:dyDescent="0.25">
      <c r="A10" s="33"/>
      <c r="B10" s="61"/>
      <c r="C10" s="58"/>
      <c r="D10" s="58"/>
      <c r="E10" s="58"/>
      <c r="F10" s="58"/>
      <c r="G10" s="58"/>
      <c r="H10" s="34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34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s="5" customFormat="1" ht="30" customHeight="1" x14ac:dyDescent="0.25">
      <c r="B11" s="35" t="s">
        <v>70</v>
      </c>
      <c r="C11" s="39">
        <f>+E11/D11</f>
        <v>8151.0524143623607</v>
      </c>
      <c r="D11" s="37">
        <f>+SUM(D12:D1999)</f>
        <v>48460</v>
      </c>
      <c r="E11" s="37">
        <f>+SUM(E12:E1999)</f>
        <v>395000000</v>
      </c>
      <c r="F11" s="39">
        <v>3950</v>
      </c>
      <c r="G11" s="7">
        <f>+SUM(G12:G1999)</f>
        <v>100130.5932780515</v>
      </c>
      <c r="H11" s="3"/>
      <c r="I11" s="39">
        <f>+K11/J11</f>
        <v>8189.2933349604864</v>
      </c>
      <c r="J11" s="37">
        <f>+SUM(J12:J1999)</f>
        <v>47028</v>
      </c>
      <c r="K11" s="37">
        <f>+SUM(K12:K1999)</f>
        <v>385126086.95652175</v>
      </c>
      <c r="L11" s="39">
        <v>3950</v>
      </c>
      <c r="M11" s="7">
        <f>+SUM(M12:M1999)</f>
        <v>97500.275178866257</v>
      </c>
      <c r="N11" s="41">
        <f>+(G11-M11)/M11</f>
        <v>2.6977545390101412E-2</v>
      </c>
      <c r="O11" s="41">
        <f>+($C11-I11)*(J11/L11)/M11</f>
        <v>-4.6696239875635443E-3</v>
      </c>
      <c r="P11" s="41">
        <f>+(($D11-J11)*(I11/L11))/M11</f>
        <v>3.0449944713787536E-2</v>
      </c>
      <c r="Q11" s="41">
        <f>+(M11*(1/F11)/(1/L11))/M11-1</f>
        <v>0</v>
      </c>
      <c r="R11" s="41">
        <f>N11-O11-P11-Q11</f>
        <v>1.197224663877422E-3</v>
      </c>
      <c r="S11" s="3"/>
      <c r="T11" s="39">
        <f>+V11/U11</f>
        <v>6995.320917920325</v>
      </c>
      <c r="U11" s="37">
        <f>+SUM(U12:U1999)</f>
        <v>53643</v>
      </c>
      <c r="V11" s="37">
        <f>+SUM(V12:V1999)</f>
        <v>375250000</v>
      </c>
      <c r="W11" s="39">
        <v>3950</v>
      </c>
      <c r="X11" s="7">
        <f>+SUM(X12:X1999)</f>
        <v>95000</v>
      </c>
      <c r="Y11" s="41">
        <f>+(G11-X11)/X11</f>
        <v>5.400624503212105E-2</v>
      </c>
      <c r="Z11" s="41">
        <f>+($C11-T11)*(U11/W11)/X11</f>
        <v>0.16521493581249866</v>
      </c>
      <c r="AA11" s="41">
        <f>+(($D11-U11)*(T11/W11))/X11</f>
        <v>-9.6620248681095394E-2</v>
      </c>
      <c r="AB11" s="41">
        <f>+(X11*(1/F11)/(1/W11))/X11-1</f>
        <v>0</v>
      </c>
      <c r="AC11" s="41">
        <f>Y11-Z11-AA11-AB11</f>
        <v>-1.4588442099282214E-2</v>
      </c>
    </row>
    <row r="12" spans="1:29" s="5" customFormat="1" ht="30" customHeight="1" x14ac:dyDescent="0.25">
      <c r="B12" s="36" t="s">
        <v>82</v>
      </c>
      <c r="C12" s="40">
        <v>7499.8813309915986</v>
      </c>
      <c r="D12" s="38">
        <v>21067</v>
      </c>
      <c r="E12" s="38">
        <f>+C12*D12</f>
        <v>158000000</v>
      </c>
      <c r="F12" s="40">
        <v>3975</v>
      </c>
      <c r="G12" s="13">
        <f>+E12/F12</f>
        <v>39748.427672955972</v>
      </c>
      <c r="H12" s="3"/>
      <c r="I12" s="40">
        <v>6521.739130434783</v>
      </c>
      <c r="J12" s="38">
        <v>23924</v>
      </c>
      <c r="K12" s="38">
        <f>+I12*J12</f>
        <v>156026086.95652175</v>
      </c>
      <c r="L12" s="40">
        <f>+L11</f>
        <v>3950</v>
      </c>
      <c r="M12" s="13">
        <f>+K12/L12</f>
        <v>39500.275178866264</v>
      </c>
      <c r="N12" s="42">
        <f t="shared" ref="N12:N14" si="0">+(G12-M12)/M12</f>
        <v>6.2822978565596288E-3</v>
      </c>
      <c r="O12" s="42">
        <f t="shared" ref="O12:O14" si="1">+($C12-I12)*(J12/L12)/M12</f>
        <v>0.14998180408537837</v>
      </c>
      <c r="P12" s="42">
        <f t="shared" ref="P12:P14" si="2">+(($D12-J12)*(I12/L12))/M12</f>
        <v>-0.11941982945995654</v>
      </c>
      <c r="Q12" s="42">
        <f t="shared" ref="Q12:Q14" si="3">+(M12*(1/F12)/(1/L12))/M12-1</f>
        <v>-6.2893081761007386E-3</v>
      </c>
      <c r="R12" s="42">
        <f t="shared" ref="R12:R14" si="4">N12-O12-P12-Q12</f>
        <v>-1.7990368592761471E-2</v>
      </c>
      <c r="S12" s="3"/>
      <c r="T12" s="40">
        <v>6402.2179569204518</v>
      </c>
      <c r="U12" s="38">
        <v>23445</v>
      </c>
      <c r="V12" s="38">
        <f>+T12*U12</f>
        <v>150100000</v>
      </c>
      <c r="W12" s="40">
        <f>+W11</f>
        <v>3950</v>
      </c>
      <c r="X12" s="13">
        <f>+V12/W12</f>
        <v>38000</v>
      </c>
      <c r="Y12" s="42">
        <f t="shared" ref="Y12:Y14" si="5">+(G12-X12)/X12</f>
        <v>4.6011254551472931E-2</v>
      </c>
      <c r="Z12" s="42">
        <f t="shared" ref="Z12:Z14" si="6">+($C12-T12)*(U12/W12)/X12</f>
        <v>0.1714504850439576</v>
      </c>
      <c r="AA12" s="42">
        <f t="shared" ref="AA12:AA14" si="7">+(($D12-U12)*(T12/W12))/X12</f>
        <v>-0.10142887609298357</v>
      </c>
      <c r="AB12" s="42">
        <f t="shared" ref="AB12:AB14" si="8">+(X12*(1/F12)/(1/W12))/X12-1</f>
        <v>-6.2893081761007386E-3</v>
      </c>
      <c r="AC12" s="42">
        <f t="shared" ref="AC12:AC14" si="9">Y12-Z12-AA12-AB12</f>
        <v>-1.7721046223400372E-2</v>
      </c>
    </row>
    <row r="13" spans="1:29" s="5" customFormat="1" ht="30" customHeight="1" x14ac:dyDescent="0.25">
      <c r="B13" s="36" t="s">
        <v>83</v>
      </c>
      <c r="C13" s="40">
        <v>8499.9375941467606</v>
      </c>
      <c r="D13" s="38">
        <v>23235</v>
      </c>
      <c r="E13" s="38">
        <f>+C13*D13</f>
        <v>197496049.99999997</v>
      </c>
      <c r="F13" s="40">
        <v>3925</v>
      </c>
      <c r="G13" s="13">
        <f t="shared" ref="G13:G14" si="10">+E13/F13</f>
        <v>50317.464968152861</v>
      </c>
      <c r="H13" s="3"/>
      <c r="I13" s="40">
        <v>10250.120576671035</v>
      </c>
      <c r="J13" s="38">
        <v>19075</v>
      </c>
      <c r="K13" s="38">
        <f t="shared" ref="K13:K14" si="11">+I13*J13</f>
        <v>195521050</v>
      </c>
      <c r="L13" s="40">
        <f>+L12</f>
        <v>3950</v>
      </c>
      <c r="M13" s="13">
        <f t="shared" ref="M13:M14" si="12">+K13/L13</f>
        <v>49499</v>
      </c>
      <c r="N13" s="42">
        <f t="shared" si="0"/>
        <v>1.6534979861267111E-2</v>
      </c>
      <c r="O13" s="42">
        <f t="shared" si="1"/>
        <v>-0.1707475506685881</v>
      </c>
      <c r="P13" s="42">
        <f t="shared" si="2"/>
        <v>0.21808650065530802</v>
      </c>
      <c r="Q13" s="42">
        <f t="shared" si="3"/>
        <v>6.3694267515921332E-3</v>
      </c>
      <c r="R13" s="42">
        <f t="shared" si="4"/>
        <v>-3.7173396877044934E-2</v>
      </c>
      <c r="S13" s="3"/>
      <c r="T13" s="40">
        <v>7113.6975898880664</v>
      </c>
      <c r="U13" s="38">
        <v>26250</v>
      </c>
      <c r="V13" s="38">
        <f t="shared" ref="V13:V14" si="13">+T13*U13</f>
        <v>186734561.73456174</v>
      </c>
      <c r="W13" s="40">
        <f>+W12</f>
        <v>3950</v>
      </c>
      <c r="X13" s="13">
        <f t="shared" ref="X13:X14" si="14">+V13/W13</f>
        <v>47274.572591028285</v>
      </c>
      <c r="Y13" s="42">
        <f t="shared" si="5"/>
        <v>6.4366364630064413E-2</v>
      </c>
      <c r="Z13" s="42">
        <f t="shared" si="6"/>
        <v>0.19486912210454346</v>
      </c>
      <c r="AA13" s="42">
        <f t="shared" si="7"/>
        <v>-0.11485714285714287</v>
      </c>
      <c r="AB13" s="42">
        <f t="shared" si="8"/>
        <v>6.3694267515921332E-3</v>
      </c>
      <c r="AC13" s="42">
        <f t="shared" si="9"/>
        <v>-2.2015041368928304E-2</v>
      </c>
    </row>
    <row r="14" spans="1:29" s="5" customFormat="1" ht="30" customHeight="1" x14ac:dyDescent="0.25">
      <c r="B14" s="36" t="s">
        <v>84</v>
      </c>
      <c r="C14" s="40">
        <v>9500.7094757094765</v>
      </c>
      <c r="D14" s="38">
        <v>4158</v>
      </c>
      <c r="E14" s="38">
        <f>+C14*D14</f>
        <v>39503950</v>
      </c>
      <c r="F14" s="40">
        <v>3925</v>
      </c>
      <c r="G14" s="13">
        <f t="shared" si="10"/>
        <v>10064.700636942674</v>
      </c>
      <c r="H14" s="3"/>
      <c r="I14" s="40">
        <v>8334.3137254901976</v>
      </c>
      <c r="J14" s="38">
        <v>4028.9999999999995</v>
      </c>
      <c r="K14" s="38">
        <f t="shared" si="11"/>
        <v>33578950</v>
      </c>
      <c r="L14" s="40">
        <f>+L13</f>
        <v>3950</v>
      </c>
      <c r="M14" s="13">
        <f t="shared" si="12"/>
        <v>8501</v>
      </c>
      <c r="N14" s="42">
        <f t="shared" si="0"/>
        <v>0.18394314044732085</v>
      </c>
      <c r="O14" s="42">
        <f t="shared" si="1"/>
        <v>0.13995102519981936</v>
      </c>
      <c r="P14" s="42">
        <f t="shared" si="2"/>
        <v>3.2017870439315088E-2</v>
      </c>
      <c r="Q14" s="42">
        <f t="shared" si="3"/>
        <v>6.3694267515921332E-3</v>
      </c>
      <c r="R14" s="42">
        <f t="shared" si="4"/>
        <v>5.6048180565942685E-3</v>
      </c>
      <c r="S14" s="3"/>
      <c r="T14" s="40">
        <v>9730.3541705770695</v>
      </c>
      <c r="U14" s="38">
        <v>3948</v>
      </c>
      <c r="V14" s="38">
        <f t="shared" si="13"/>
        <v>38415438.265438274</v>
      </c>
      <c r="W14" s="40">
        <f>+W13</f>
        <v>3950</v>
      </c>
      <c r="X14" s="13">
        <f t="shared" si="14"/>
        <v>9725.4274089717146</v>
      </c>
      <c r="Y14" s="42">
        <f t="shared" si="5"/>
        <v>3.4885174060111747E-2</v>
      </c>
      <c r="Z14" s="42">
        <f t="shared" si="6"/>
        <v>-2.360085674599588E-2</v>
      </c>
      <c r="AA14" s="42">
        <f t="shared" si="7"/>
        <v>5.3191489361702128E-2</v>
      </c>
      <c r="AB14" s="42">
        <f t="shared" si="8"/>
        <v>6.3694267515921332E-3</v>
      </c>
      <c r="AC14" s="42">
        <f t="shared" si="9"/>
        <v>-1.0748853071866349E-3</v>
      </c>
    </row>
    <row r="16" spans="1:29" x14ac:dyDescent="0.25">
      <c r="O16" s="63"/>
      <c r="P16" s="63"/>
      <c r="Q16" s="63"/>
      <c r="R16" s="63"/>
    </row>
    <row r="17" spans="15:18" x14ac:dyDescent="0.25">
      <c r="O17" s="63"/>
      <c r="P17" s="63"/>
      <c r="Q17" s="63"/>
      <c r="R17" s="63"/>
    </row>
    <row r="18" spans="15:18" x14ac:dyDescent="0.25">
      <c r="O18" s="63"/>
      <c r="P18" s="63"/>
      <c r="Q18" s="63"/>
      <c r="R18" s="63"/>
    </row>
    <row r="19" spans="15:18" x14ac:dyDescent="0.25">
      <c r="O19" s="63"/>
      <c r="P19" s="63"/>
      <c r="Q19" s="63"/>
      <c r="R19" s="63"/>
    </row>
    <row r="20" spans="15:18" x14ac:dyDescent="0.25">
      <c r="O20" s="62"/>
      <c r="P20" s="62"/>
      <c r="Q20" s="63"/>
      <c r="R20" s="63"/>
    </row>
  </sheetData>
  <mergeCells count="30">
    <mergeCell ref="B2:AC2"/>
    <mergeCell ref="B4:B10"/>
    <mergeCell ref="C4:G4"/>
    <mergeCell ref="I5:I10"/>
    <mergeCell ref="J5:J10"/>
    <mergeCell ref="K5:K10"/>
    <mergeCell ref="L5:L10"/>
    <mergeCell ref="C5:C10"/>
    <mergeCell ref="D5:D10"/>
    <mergeCell ref="E5:E10"/>
    <mergeCell ref="F5:F10"/>
    <mergeCell ref="G5:G10"/>
    <mergeCell ref="Y5:Y10"/>
    <mergeCell ref="T4:AC4"/>
    <mergeCell ref="T5:T10"/>
    <mergeCell ref="U5:U10"/>
    <mergeCell ref="I4:R4"/>
    <mergeCell ref="M5:M10"/>
    <mergeCell ref="AC5:AC10"/>
    <mergeCell ref="N5:N10"/>
    <mergeCell ref="O5:O10"/>
    <mergeCell ref="P5:P10"/>
    <mergeCell ref="R5:R10"/>
    <mergeCell ref="V5:V10"/>
    <mergeCell ref="W5:W10"/>
    <mergeCell ref="X5:X10"/>
    <mergeCell ref="Z5:Z10"/>
    <mergeCell ref="AA5:AA10"/>
    <mergeCell ref="Q5:Q10"/>
    <mergeCell ref="AB5:A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4"/>
  <sheetViews>
    <sheetView workbookViewId="0">
      <pane ySplit="10" topLeftCell="A11" activePane="bottomLeft" state="frozen"/>
      <selection pane="bottomLeft" activeCell="B2" sqref="B2:AC2"/>
    </sheetView>
  </sheetViews>
  <sheetFormatPr baseColWidth="10" defaultRowHeight="15" x14ac:dyDescent="0.25"/>
  <cols>
    <col min="1" max="1" width="5.7109375" style="1" customWidth="1"/>
    <col min="2" max="2" width="12.7109375" style="4" customWidth="1"/>
    <col min="3" max="3" width="8.140625" style="23" customWidth="1"/>
    <col min="4" max="4" width="9.140625" style="23" customWidth="1"/>
    <col min="5" max="5" width="11.140625" style="23" customWidth="1"/>
    <col min="6" max="6" width="8.7109375" style="23" customWidth="1"/>
    <col min="7" max="7" width="10.7109375" style="23" customWidth="1"/>
    <col min="8" max="8" width="1.7109375" style="2" customWidth="1"/>
    <col min="9" max="9" width="8.140625" style="23" customWidth="1"/>
    <col min="10" max="10" width="9.140625" style="23" customWidth="1"/>
    <col min="11" max="11" width="11.140625" style="23" customWidth="1"/>
    <col min="12" max="12" width="8.7109375" style="23" customWidth="1"/>
    <col min="13" max="13" width="10.7109375" style="23" customWidth="1"/>
    <col min="14" max="18" width="9.5703125" style="2" customWidth="1"/>
    <col min="19" max="19" width="1.7109375" style="2" customWidth="1"/>
    <col min="20" max="20" width="8.140625" style="23" customWidth="1"/>
    <col min="21" max="21" width="9.140625" style="23" customWidth="1"/>
    <col min="22" max="22" width="11.140625" style="23" customWidth="1"/>
    <col min="23" max="23" width="8.7109375" style="23" customWidth="1"/>
    <col min="24" max="24" width="10.7109375" style="23" customWidth="1"/>
    <col min="25" max="29" width="9.5703125" style="2" customWidth="1"/>
    <col min="30" max="16384" width="11.42578125" style="1"/>
  </cols>
  <sheetData>
    <row r="2" spans="1:29" ht="32.25" x14ac:dyDescent="0.5">
      <c r="B2" s="43" t="s">
        <v>85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4" spans="1:29" ht="15" customHeight="1" x14ac:dyDescent="0.25">
      <c r="A4" s="33"/>
      <c r="B4" s="59" t="s">
        <v>0</v>
      </c>
      <c r="C4" s="53" t="s">
        <v>2</v>
      </c>
      <c r="D4" s="54"/>
      <c r="E4" s="54"/>
      <c r="F4" s="54"/>
      <c r="G4" s="55"/>
      <c r="H4" s="34"/>
      <c r="I4" s="53" t="s">
        <v>4</v>
      </c>
      <c r="J4" s="54"/>
      <c r="K4" s="54"/>
      <c r="L4" s="54"/>
      <c r="M4" s="54"/>
      <c r="N4" s="54"/>
      <c r="O4" s="54"/>
      <c r="P4" s="54"/>
      <c r="Q4" s="54"/>
      <c r="R4" s="55"/>
      <c r="S4" s="34"/>
      <c r="T4" s="53" t="s">
        <v>3</v>
      </c>
      <c r="U4" s="54"/>
      <c r="V4" s="54"/>
      <c r="W4" s="54"/>
      <c r="X4" s="54"/>
      <c r="Y4" s="54"/>
      <c r="Z4" s="54"/>
      <c r="AA4" s="54"/>
      <c r="AB4" s="54"/>
      <c r="AC4" s="55"/>
    </row>
    <row r="5" spans="1:29" ht="15" customHeight="1" x14ac:dyDescent="0.25">
      <c r="A5" s="33"/>
      <c r="B5" s="60"/>
      <c r="C5" s="56" t="s">
        <v>71</v>
      </c>
      <c r="D5" s="56" t="s">
        <v>72</v>
      </c>
      <c r="E5" s="56" t="s">
        <v>77</v>
      </c>
      <c r="F5" s="56" t="s">
        <v>73</v>
      </c>
      <c r="G5" s="56" t="s">
        <v>81</v>
      </c>
      <c r="H5" s="34"/>
      <c r="I5" s="56" t="s">
        <v>71</v>
      </c>
      <c r="J5" s="56" t="s">
        <v>72</v>
      </c>
      <c r="K5" s="56" t="s">
        <v>77</v>
      </c>
      <c r="L5" s="56" t="s">
        <v>73</v>
      </c>
      <c r="M5" s="56" t="s">
        <v>81</v>
      </c>
      <c r="N5" s="56" t="s">
        <v>1</v>
      </c>
      <c r="O5" s="56" t="s">
        <v>74</v>
      </c>
      <c r="P5" s="56" t="s">
        <v>75</v>
      </c>
      <c r="Q5" s="56" t="s">
        <v>76</v>
      </c>
      <c r="R5" s="56" t="s">
        <v>88</v>
      </c>
      <c r="S5" s="34"/>
      <c r="T5" s="56" t="s">
        <v>71</v>
      </c>
      <c r="U5" s="56" t="s">
        <v>72</v>
      </c>
      <c r="V5" s="56" t="s">
        <v>77</v>
      </c>
      <c r="W5" s="56" t="s">
        <v>73</v>
      </c>
      <c r="X5" s="56" t="s">
        <v>81</v>
      </c>
      <c r="Y5" s="56" t="s">
        <v>1</v>
      </c>
      <c r="Z5" s="56" t="s">
        <v>78</v>
      </c>
      <c r="AA5" s="56" t="s">
        <v>79</v>
      </c>
      <c r="AB5" s="56" t="s">
        <v>80</v>
      </c>
      <c r="AC5" s="56" t="s">
        <v>88</v>
      </c>
    </row>
    <row r="6" spans="1:29" ht="15" customHeight="1" x14ac:dyDescent="0.25">
      <c r="A6" s="33"/>
      <c r="B6" s="60"/>
      <c r="C6" s="57"/>
      <c r="D6" s="57"/>
      <c r="E6" s="57"/>
      <c r="F6" s="57"/>
      <c r="G6" s="57"/>
      <c r="H6" s="34"/>
      <c r="I6" s="57"/>
      <c r="J6" s="57"/>
      <c r="K6" s="57"/>
      <c r="L6" s="57"/>
      <c r="M6" s="57"/>
      <c r="N6" s="57"/>
      <c r="O6" s="57"/>
      <c r="P6" s="57"/>
      <c r="Q6" s="57"/>
      <c r="R6" s="57"/>
      <c r="S6" s="34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29" ht="15" customHeight="1" x14ac:dyDescent="0.25">
      <c r="A7" s="33"/>
      <c r="B7" s="60"/>
      <c r="C7" s="57"/>
      <c r="D7" s="57"/>
      <c r="E7" s="57"/>
      <c r="F7" s="57"/>
      <c r="G7" s="57"/>
      <c r="H7" s="34"/>
      <c r="I7" s="57"/>
      <c r="J7" s="57"/>
      <c r="K7" s="57"/>
      <c r="L7" s="57"/>
      <c r="M7" s="57"/>
      <c r="N7" s="57"/>
      <c r="O7" s="57"/>
      <c r="P7" s="57"/>
      <c r="Q7" s="57"/>
      <c r="R7" s="57"/>
      <c r="S7" s="34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29" ht="15" customHeight="1" x14ac:dyDescent="0.25">
      <c r="A8" s="33"/>
      <c r="B8" s="60"/>
      <c r="C8" s="57"/>
      <c r="D8" s="57"/>
      <c r="E8" s="57"/>
      <c r="F8" s="57"/>
      <c r="G8" s="57"/>
      <c r="H8" s="34"/>
      <c r="I8" s="57"/>
      <c r="J8" s="57"/>
      <c r="K8" s="57"/>
      <c r="L8" s="57"/>
      <c r="M8" s="57"/>
      <c r="N8" s="57"/>
      <c r="O8" s="57"/>
      <c r="P8" s="57"/>
      <c r="Q8" s="57"/>
      <c r="R8" s="57"/>
      <c r="S8" s="34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1:29" ht="15" customHeight="1" x14ac:dyDescent="0.25">
      <c r="A9" s="33"/>
      <c r="B9" s="60"/>
      <c r="C9" s="57"/>
      <c r="D9" s="57"/>
      <c r="E9" s="57"/>
      <c r="F9" s="57"/>
      <c r="G9" s="57"/>
      <c r="H9" s="34"/>
      <c r="I9" s="57"/>
      <c r="J9" s="57"/>
      <c r="K9" s="57"/>
      <c r="L9" s="57"/>
      <c r="M9" s="57"/>
      <c r="N9" s="57"/>
      <c r="O9" s="57"/>
      <c r="P9" s="57"/>
      <c r="Q9" s="57"/>
      <c r="R9" s="57"/>
      <c r="S9" s="34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pans="1:29" x14ac:dyDescent="0.25">
      <c r="A10" s="33"/>
      <c r="B10" s="61"/>
      <c r="C10" s="58"/>
      <c r="D10" s="58"/>
      <c r="E10" s="58"/>
      <c r="F10" s="58"/>
      <c r="G10" s="58"/>
      <c r="H10" s="34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34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s="5" customFormat="1" ht="30" customHeight="1" x14ac:dyDescent="0.25">
      <c r="B11" s="64" t="s">
        <v>87</v>
      </c>
      <c r="C11" s="65">
        <f>+E11/D11</f>
        <v>3260.4209657449442</v>
      </c>
      <c r="D11" s="66">
        <f>+SUM(D12:D2000)</f>
        <v>48460</v>
      </c>
      <c r="E11" s="66">
        <f>+SUM(E12:E2000)</f>
        <v>158000000</v>
      </c>
      <c r="F11" s="65">
        <v>3950</v>
      </c>
      <c r="G11" s="11">
        <f>+SUM(G12:G2000)</f>
        <v>40052.237311220604</v>
      </c>
      <c r="H11" s="3"/>
      <c r="I11" s="65">
        <f>+K11/J11</f>
        <v>3254.719145945834</v>
      </c>
      <c r="J11" s="66">
        <f>+SUM(J12:J2000)</f>
        <v>47028</v>
      </c>
      <c r="K11" s="66">
        <f>+SUM(K12:K2000)</f>
        <v>153062931.99554068</v>
      </c>
      <c r="L11" s="65">
        <v>3950</v>
      </c>
      <c r="M11" s="11">
        <f>+SUM(M12:M2000)</f>
        <v>38750.109365959666</v>
      </c>
      <c r="N11" s="67">
        <f>+(G11-M11)/M11</f>
        <v>3.3603206973263466E-2</v>
      </c>
      <c r="O11" s="67">
        <f>+($C11-I11)*(J11/L11)/M11</f>
        <v>1.7518623092909465E-3</v>
      </c>
      <c r="P11" s="67">
        <f>+(($D11-J11)*(I11/L11))/M11</f>
        <v>3.0449944713787529E-2</v>
      </c>
      <c r="Q11" s="67">
        <f>+(M11*(1/F11)/(1/L11))/M11-1</f>
        <v>0</v>
      </c>
      <c r="R11" s="67">
        <f>N11-O11-P11-Q11</f>
        <v>1.4013999501849908E-3</v>
      </c>
      <c r="S11" s="3"/>
      <c r="T11" s="65">
        <f>+V11/U11</f>
        <v>2851.5137110154169</v>
      </c>
      <c r="U11" s="66">
        <f>+SUM(U12:U2000)</f>
        <v>53643</v>
      </c>
      <c r="V11" s="66">
        <f>+SUM(V12:V2000)</f>
        <v>152963750</v>
      </c>
      <c r="W11" s="65">
        <v>3950</v>
      </c>
      <c r="X11" s="11">
        <f>+SUM(X12:X2000)</f>
        <v>38725.000000000007</v>
      </c>
      <c r="Y11" s="67">
        <f>+(G11-X11)/X11</f>
        <v>3.427339732009288E-2</v>
      </c>
      <c r="Z11" s="67">
        <f>+($C11-T11)*(U11/W11)/X11</f>
        <v>0.14340006612975967</v>
      </c>
      <c r="AA11" s="67">
        <f>+(($D11-U11)*(T11/W11))/X11</f>
        <v>-9.662024868109538E-2</v>
      </c>
      <c r="AB11" s="67">
        <f>+(X11*(1/F11)/(1/W11))/X11-1</f>
        <v>0</v>
      </c>
      <c r="AC11" s="67">
        <f>Y11-Z11-AA11-AB11</f>
        <v>-1.2506420128571408E-2</v>
      </c>
    </row>
    <row r="12" spans="1:29" s="5" customFormat="1" ht="30" customHeight="1" x14ac:dyDescent="0.25">
      <c r="B12" s="36" t="s">
        <v>82</v>
      </c>
      <c r="C12" s="40">
        <v>2999.9525323966395</v>
      </c>
      <c r="D12" s="38">
        <v>21067</v>
      </c>
      <c r="E12" s="38">
        <f>+C12*D12</f>
        <v>63200000.000000007</v>
      </c>
      <c r="F12" s="40">
        <v>3975</v>
      </c>
      <c r="G12" s="13">
        <f>+E12/F12</f>
        <v>15899.371069182393</v>
      </c>
      <c r="H12" s="3"/>
      <c r="I12" s="40">
        <v>2591.9732441471574</v>
      </c>
      <c r="J12" s="38">
        <v>23924</v>
      </c>
      <c r="K12" s="38">
        <f>+I12*J12</f>
        <v>62010367.892976597</v>
      </c>
      <c r="L12" s="40">
        <f>+L11</f>
        <v>3950</v>
      </c>
      <c r="M12" s="13">
        <f>+K12/L12</f>
        <v>15698.827314677619</v>
      </c>
      <c r="N12" s="42">
        <f t="shared" ref="N12:N14" si="0">+(G12-M12)/M12</f>
        <v>1.27744417136989E-2</v>
      </c>
      <c r="O12" s="42">
        <f t="shared" ref="O12:O14" si="1">+($C12-I12)*(J12/L12)/M12</f>
        <v>0.1574010415310905</v>
      </c>
      <c r="P12" s="42">
        <f t="shared" ref="P12:P14" si="2">+(($D12-J12)*(I12/L12))/M12</f>
        <v>-0.11941982945995654</v>
      </c>
      <c r="Q12" s="42">
        <f t="shared" ref="Q12:Q14" si="3">+(M12*(1/F12)/(1/L12))/M12-1</f>
        <v>-6.2893081761006275E-3</v>
      </c>
      <c r="R12" s="42">
        <f t="shared" ref="R12:R14" si="4">N12-O12-P12-Q12</f>
        <v>-1.891746218133443E-2</v>
      </c>
      <c r="S12" s="3"/>
      <c r="T12" s="40">
        <v>2609.7462145446789</v>
      </c>
      <c r="U12" s="38">
        <v>23445</v>
      </c>
      <c r="V12" s="38">
        <f>+T12*U12</f>
        <v>61185500</v>
      </c>
      <c r="W12" s="40">
        <f>+W11</f>
        <v>3950</v>
      </c>
      <c r="X12" s="13">
        <f>+V12/W12</f>
        <v>15490</v>
      </c>
      <c r="Y12" s="42">
        <f t="shared" ref="Y12:Y14" si="5">+(G12-X12)/X12</f>
        <v>2.642808710021902E-2</v>
      </c>
      <c r="Z12" s="42">
        <f t="shared" ref="Z12:Z14" si="6">+($C12-T12)*(U12/W12)/X12</f>
        <v>0.14951887493015856</v>
      </c>
      <c r="AA12" s="42">
        <f t="shared" ref="AA12:AA14" si="7">+(($D12-U12)*(T12/W12))/X12</f>
        <v>-0.10142887609298358</v>
      </c>
      <c r="AB12" s="42">
        <f t="shared" ref="AB12:AB14" si="8">+(X12*(1/F12)/(1/W12))/X12-1</f>
        <v>-6.2893081761006275E-3</v>
      </c>
      <c r="AC12" s="42">
        <f t="shared" ref="AC12:AC14" si="9">Y12-Z12-AA12-AB12</f>
        <v>-1.5372603560855333E-2</v>
      </c>
    </row>
    <row r="13" spans="1:29" s="5" customFormat="1" ht="30" customHeight="1" x14ac:dyDescent="0.25">
      <c r="B13" s="36" t="s">
        <v>83</v>
      </c>
      <c r="C13" s="40">
        <v>3399.9750376587044</v>
      </c>
      <c r="D13" s="38">
        <v>23235</v>
      </c>
      <c r="E13" s="38">
        <f>+C13*D13</f>
        <v>78998420</v>
      </c>
      <c r="F13" s="40">
        <v>3925</v>
      </c>
      <c r="G13" s="13">
        <f t="shared" ref="G13:G14" si="10">+E13/F13</f>
        <v>20126.985987261145</v>
      </c>
      <c r="H13" s="3"/>
      <c r="I13" s="40">
        <v>4073.7658702154117</v>
      </c>
      <c r="J13" s="38">
        <v>19075</v>
      </c>
      <c r="K13" s="38">
        <f t="shared" ref="K13:K14" si="11">+I13*J13</f>
        <v>77707083.974358976</v>
      </c>
      <c r="L13" s="40">
        <f>+L12</f>
        <v>3950</v>
      </c>
      <c r="M13" s="13">
        <f t="shared" ref="M13:M14" si="12">+K13/L13</f>
        <v>19672.679487179488</v>
      </c>
      <c r="N13" s="42">
        <f t="shared" si="0"/>
        <v>2.3093270053920433E-2</v>
      </c>
      <c r="O13" s="42">
        <f t="shared" si="1"/>
        <v>-0.16539753486644992</v>
      </c>
      <c r="P13" s="42">
        <f t="shared" si="2"/>
        <v>0.21808650065530802</v>
      </c>
      <c r="Q13" s="42">
        <f t="shared" si="3"/>
        <v>6.3694267515921332E-3</v>
      </c>
      <c r="R13" s="42">
        <f t="shared" si="4"/>
        <v>-3.5965122486529805E-2</v>
      </c>
      <c r="S13" s="3"/>
      <c r="T13" s="40">
        <v>2899.7677807201617</v>
      </c>
      <c r="U13" s="38">
        <v>26250</v>
      </c>
      <c r="V13" s="38">
        <f t="shared" ref="V13:V14" si="13">+T13*U13</f>
        <v>76118904.243904248</v>
      </c>
      <c r="W13" s="40">
        <f>+W12</f>
        <v>3950</v>
      </c>
      <c r="X13" s="13">
        <f t="shared" ref="X13:X14" si="14">+V13/W13</f>
        <v>19270.608669342848</v>
      </c>
      <c r="Y13" s="42">
        <f t="shared" si="5"/>
        <v>4.4439557287087018E-2</v>
      </c>
      <c r="Z13" s="42">
        <f t="shared" si="6"/>
        <v>0.17249907398250885</v>
      </c>
      <c r="AA13" s="42">
        <f t="shared" si="7"/>
        <v>-0.11485714285714285</v>
      </c>
      <c r="AB13" s="42">
        <f t="shared" si="8"/>
        <v>6.3694267515921332E-3</v>
      </c>
      <c r="AC13" s="42">
        <f t="shared" si="9"/>
        <v>-1.9571800589871124E-2</v>
      </c>
    </row>
    <row r="14" spans="1:29" s="5" customFormat="1" ht="30" customHeight="1" x14ac:dyDescent="0.25">
      <c r="B14" s="36" t="s">
        <v>84</v>
      </c>
      <c r="C14" s="40">
        <v>3800.2837902837909</v>
      </c>
      <c r="D14" s="38">
        <v>4158</v>
      </c>
      <c r="E14" s="38">
        <f>+C14*D14</f>
        <v>15801580.000000002</v>
      </c>
      <c r="F14" s="40">
        <v>3925</v>
      </c>
      <c r="G14" s="13">
        <f t="shared" si="10"/>
        <v>4025.8802547770706</v>
      </c>
      <c r="H14" s="3"/>
      <c r="I14" s="40">
        <v>3312.3554550025146</v>
      </c>
      <c r="J14" s="38">
        <v>4028.9999999999995</v>
      </c>
      <c r="K14" s="38">
        <f t="shared" si="11"/>
        <v>13345480.12820513</v>
      </c>
      <c r="L14" s="40">
        <f>+L13</f>
        <v>3950</v>
      </c>
      <c r="M14" s="13">
        <f t="shared" si="12"/>
        <v>3378.6025641025644</v>
      </c>
      <c r="N14" s="42">
        <f t="shared" si="0"/>
        <v>0.19158148328891658</v>
      </c>
      <c r="O14" s="42">
        <f t="shared" si="1"/>
        <v>0.14730554794304401</v>
      </c>
      <c r="P14" s="42">
        <f t="shared" si="2"/>
        <v>3.2017870439315088E-2</v>
      </c>
      <c r="Q14" s="42">
        <f t="shared" si="3"/>
        <v>6.3694267515921332E-3</v>
      </c>
      <c r="R14" s="42">
        <f t="shared" si="4"/>
        <v>5.8886381549653477E-3</v>
      </c>
      <c r="S14" s="3"/>
      <c r="T14" s="40">
        <v>3966.3996342694422</v>
      </c>
      <c r="U14" s="38">
        <v>3948</v>
      </c>
      <c r="V14" s="38">
        <f t="shared" si="13"/>
        <v>15659345.756095758</v>
      </c>
      <c r="W14" s="40">
        <f>+W13</f>
        <v>3950</v>
      </c>
      <c r="X14" s="13">
        <f t="shared" si="14"/>
        <v>3964.391330657154</v>
      </c>
      <c r="Y14" s="42">
        <f t="shared" si="5"/>
        <v>1.5510306372737422E-2</v>
      </c>
      <c r="Z14" s="42">
        <f t="shared" si="6"/>
        <v>-4.1880763236871267E-2</v>
      </c>
      <c r="AA14" s="42">
        <f t="shared" si="7"/>
        <v>5.3191489361702128E-2</v>
      </c>
      <c r="AB14" s="42">
        <f t="shared" si="8"/>
        <v>6.3694267515923553E-3</v>
      </c>
      <c r="AC14" s="42">
        <f t="shared" si="9"/>
        <v>-2.1698465036857975E-3</v>
      </c>
    </row>
  </sheetData>
  <mergeCells count="30">
    <mergeCell ref="AC5:AC10"/>
    <mergeCell ref="O5:O10"/>
    <mergeCell ref="P5:P10"/>
    <mergeCell ref="R5:R10"/>
    <mergeCell ref="T5:T10"/>
    <mergeCell ref="U5:U10"/>
    <mergeCell ref="V5:V10"/>
    <mergeCell ref="W5:W10"/>
    <mergeCell ref="X5:X10"/>
    <mergeCell ref="Y5:Y10"/>
    <mergeCell ref="Z5:Z10"/>
    <mergeCell ref="AA5:AA10"/>
    <mergeCell ref="AB5:AB10"/>
    <mergeCell ref="Q5:Q10"/>
    <mergeCell ref="N5:N10"/>
    <mergeCell ref="B2:AC2"/>
    <mergeCell ref="B4:B10"/>
    <mergeCell ref="C4:G4"/>
    <mergeCell ref="I4:R4"/>
    <mergeCell ref="T4:AC4"/>
    <mergeCell ref="C5:C10"/>
    <mergeCell ref="D5:D10"/>
    <mergeCell ref="E5:E10"/>
    <mergeCell ref="F5:F10"/>
    <mergeCell ref="G5:G10"/>
    <mergeCell ref="I5:I10"/>
    <mergeCell ref="J5:J10"/>
    <mergeCell ref="K5:K10"/>
    <mergeCell ref="L5:L10"/>
    <mergeCell ref="M5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Gestión de Tesorería</vt:lpstr>
      <vt:lpstr>Gestión de ventas</vt:lpstr>
      <vt:lpstr>Gestión de compras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2022-05-17T10:32:32Z</dcterms:created>
  <dcterms:modified xsi:type="dcterms:W3CDTF">2022-08-23T20:14:05Z</dcterms:modified>
</cp:coreProperties>
</file>